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F734D242-7B63-477B-8198-34CB20784B43}" xr6:coauthVersionLast="47" xr6:coauthVersionMax="47" xr10:uidLastSave="{00000000-0000-0000-0000-000000000000}"/>
  <bookViews>
    <workbookView xWindow="-108" yWindow="-108" windowWidth="23256" windowHeight="12576" tabRatio="733" activeTab="5" xr2:uid="{00000000-000D-0000-FFFF-FFFF00000000}"/>
  </bookViews>
  <sheets>
    <sheet name="Midmarch" sheetId="1" r:id="rId1"/>
    <sheet name="Ringbridge" sheetId="30" r:id="rId2"/>
    <sheet name="The Gates" sheetId="4" r:id="rId3"/>
    <sheet name="Aeris" sheetId="31" r:id="rId4"/>
    <sheet name="Vallani" sheetId="16" r:id="rId5"/>
    <sheet name="Dosilac" sheetId="32" r:id="rId6"/>
    <sheet name="Oston" sheetId="27" r:id="rId7"/>
    <sheet name="WyvernBridge" sheetId="33" r:id="rId8"/>
    <sheet name="Tatzleford" sheetId="26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31" l="1"/>
  <c r="H71" i="4"/>
  <c r="H72" i="4"/>
  <c r="H73" i="4"/>
  <c r="H74" i="4"/>
  <c r="H75" i="4"/>
  <c r="H76" i="4"/>
  <c r="H77" i="4"/>
  <c r="H78" i="4"/>
  <c r="H79" i="4"/>
  <c r="I12" i="4"/>
  <c r="H47" i="30"/>
  <c r="H48" i="30"/>
  <c r="H49" i="30"/>
  <c r="H50" i="30"/>
  <c r="H51" i="30"/>
  <c r="H52" i="30"/>
  <c r="H53" i="30"/>
  <c r="H79" i="30"/>
  <c r="D40" i="31"/>
  <c r="O31" i="31"/>
  <c r="O32" i="31"/>
  <c r="O33" i="31"/>
  <c r="O34" i="31"/>
  <c r="O35" i="31"/>
  <c r="O36" i="31"/>
  <c r="G36" i="32"/>
  <c r="G12" i="26"/>
  <c r="H5" i="26"/>
  <c r="Y44" i="32"/>
  <c r="O44" i="32"/>
  <c r="H44" i="32"/>
  <c r="Y43" i="32"/>
  <c r="O43" i="32"/>
  <c r="H43" i="32"/>
  <c r="D3" i="31"/>
  <c r="H51" i="1" l="1"/>
  <c r="Y65" i="4" l="1"/>
  <c r="O65" i="4"/>
  <c r="H65" i="4"/>
  <c r="Y64" i="4"/>
  <c r="O64" i="4"/>
  <c r="H64" i="4"/>
  <c r="AB3" i="31"/>
  <c r="D3" i="30" l="1"/>
  <c r="AF2" i="30"/>
  <c r="H36" i="32"/>
  <c r="H37" i="32"/>
  <c r="H38" i="32"/>
  <c r="O36" i="32"/>
  <c r="H73" i="33"/>
  <c r="H74" i="33"/>
  <c r="H75" i="33"/>
  <c r="Y62" i="33" l="1"/>
  <c r="Y63" i="33"/>
  <c r="Y64" i="33"/>
  <c r="D35" i="33" l="1"/>
  <c r="D34" i="33"/>
  <c r="D33" i="33"/>
  <c r="D27" i="33"/>
  <c r="D26" i="33"/>
  <c r="D25" i="33"/>
  <c r="D24" i="33"/>
  <c r="Y73" i="33"/>
  <c r="Y74" i="33"/>
  <c r="Y75" i="33"/>
  <c r="Y72" i="33"/>
  <c r="O72" i="33"/>
  <c r="H72" i="33"/>
  <c r="Y71" i="33"/>
  <c r="O71" i="33"/>
  <c r="H71" i="33"/>
  <c r="Y70" i="33"/>
  <c r="O70" i="33"/>
  <c r="H70" i="33"/>
  <c r="Y69" i="33"/>
  <c r="O69" i="33"/>
  <c r="H69" i="33"/>
  <c r="Y68" i="33"/>
  <c r="O68" i="33"/>
  <c r="H68" i="33"/>
  <c r="Y67" i="33"/>
  <c r="O67" i="33"/>
  <c r="H67" i="33"/>
  <c r="O66" i="33"/>
  <c r="H66" i="33"/>
  <c r="G60" i="33" s="1"/>
  <c r="Y65" i="33"/>
  <c r="O65" i="33"/>
  <c r="H65" i="33"/>
  <c r="O64" i="33"/>
  <c r="H64" i="33"/>
  <c r="O63" i="33"/>
  <c r="H63" i="33"/>
  <c r="Y61" i="33"/>
  <c r="O61" i="33"/>
  <c r="H61" i="33"/>
  <c r="Y60" i="33"/>
  <c r="O60" i="33"/>
  <c r="H60" i="33"/>
  <c r="H77" i="33"/>
  <c r="O77" i="33"/>
  <c r="Y77" i="33"/>
  <c r="H78" i="33"/>
  <c r="O78" i="33"/>
  <c r="Y78" i="33"/>
  <c r="H79" i="33"/>
  <c r="O79" i="33"/>
  <c r="Y79" i="33"/>
  <c r="H80" i="33"/>
  <c r="O80" i="33"/>
  <c r="Y80" i="33"/>
  <c r="H81" i="33"/>
  <c r="O81" i="33"/>
  <c r="Y81" i="33"/>
  <c r="H82" i="33"/>
  <c r="O82" i="33"/>
  <c r="Y82" i="33"/>
  <c r="Y72" i="16"/>
  <c r="Y70" i="16"/>
  <c r="Y71" i="16"/>
  <c r="D28" i="33" l="1"/>
  <c r="H70" i="16" l="1"/>
  <c r="H71" i="16"/>
  <c r="H72" i="16"/>
  <c r="O70" i="16"/>
  <c r="O71" i="16"/>
  <c r="O72" i="16"/>
  <c r="O46" i="33"/>
  <c r="O47" i="33"/>
  <c r="O48" i="33"/>
  <c r="O49" i="33"/>
  <c r="O50" i="33"/>
  <c r="O51" i="33"/>
  <c r="O52" i="33"/>
  <c r="O53" i="33"/>
  <c r="O31" i="33"/>
  <c r="O32" i="33"/>
  <c r="O33" i="33"/>
  <c r="O34" i="33"/>
  <c r="O35" i="33"/>
  <c r="O36" i="33"/>
  <c r="O37" i="33"/>
  <c r="O38" i="33"/>
  <c r="H41" i="33"/>
  <c r="O41" i="33"/>
  <c r="Y41" i="33"/>
  <c r="Y27" i="33"/>
  <c r="Y21" i="33"/>
  <c r="Y22" i="33"/>
  <c r="Y23" i="33"/>
  <c r="Y24" i="33"/>
  <c r="Y25" i="33"/>
  <c r="Y26" i="33"/>
  <c r="H17" i="33"/>
  <c r="H18" i="33"/>
  <c r="H19" i="33"/>
  <c r="H20" i="33"/>
  <c r="H21" i="33"/>
  <c r="H22" i="33"/>
  <c r="H23" i="33"/>
  <c r="H24" i="33"/>
  <c r="H25" i="33"/>
  <c r="H26" i="33"/>
  <c r="H27" i="33"/>
  <c r="O17" i="33"/>
  <c r="O18" i="33"/>
  <c r="O19" i="33"/>
  <c r="O20" i="33"/>
  <c r="O21" i="33"/>
  <c r="O22" i="33"/>
  <c r="O23" i="33"/>
  <c r="O24" i="33"/>
  <c r="O25" i="33"/>
  <c r="O26" i="33"/>
  <c r="O27" i="33"/>
  <c r="H74" i="16"/>
  <c r="H37" i="16"/>
  <c r="H38" i="16"/>
  <c r="H39" i="16"/>
  <c r="H40" i="16"/>
  <c r="O37" i="16"/>
  <c r="O38" i="16"/>
  <c r="O39" i="16"/>
  <c r="O40" i="16"/>
  <c r="Y22" i="31"/>
  <c r="Y23" i="31"/>
  <c r="Y75" i="4"/>
  <c r="Y76" i="4"/>
  <c r="Y77" i="4"/>
  <c r="Y78" i="4"/>
  <c r="O71" i="4"/>
  <c r="O72" i="4"/>
  <c r="O73" i="4"/>
  <c r="O74" i="4"/>
  <c r="O75" i="4"/>
  <c r="O76" i="4"/>
  <c r="O77" i="4"/>
  <c r="O78" i="4"/>
  <c r="H71" i="30"/>
  <c r="O71" i="30"/>
  <c r="O66" i="30"/>
  <c r="O67" i="30"/>
  <c r="Z6" i="31"/>
  <c r="J6" i="31"/>
  <c r="Y44" i="31"/>
  <c r="Y45" i="31"/>
  <c r="Y46" i="31"/>
  <c r="Y47" i="31"/>
  <c r="O44" i="31"/>
  <c r="O45" i="31"/>
  <c r="O46" i="31"/>
  <c r="O47" i="31"/>
  <c r="H44" i="31"/>
  <c r="H45" i="31"/>
  <c r="H46" i="31"/>
  <c r="H47" i="31"/>
  <c r="H55" i="31"/>
  <c r="O55" i="31"/>
  <c r="Y55" i="31"/>
  <c r="H56" i="31"/>
  <c r="O56" i="31"/>
  <c r="Y56" i="31"/>
  <c r="H57" i="31"/>
  <c r="O57" i="31"/>
  <c r="Y57" i="31"/>
  <c r="H58" i="31"/>
  <c r="O58" i="31"/>
  <c r="Y58" i="31"/>
  <c r="H59" i="31"/>
  <c r="O59" i="31"/>
  <c r="Y59" i="31"/>
  <c r="Y30" i="31"/>
  <c r="Y31" i="31"/>
  <c r="Y32" i="31"/>
  <c r="Y33" i="31"/>
  <c r="Y34" i="31"/>
  <c r="Y35" i="31"/>
  <c r="Y36" i="31"/>
  <c r="Y37" i="31"/>
  <c r="H34" i="31"/>
  <c r="H22" i="31"/>
  <c r="H23" i="31"/>
  <c r="H24" i="31"/>
  <c r="O22" i="31"/>
  <c r="O23" i="31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36" i="4"/>
  <c r="Y71" i="4" l="1"/>
  <c r="Y37" i="16" l="1"/>
  <c r="Y38" i="16"/>
  <c r="Y39" i="16"/>
  <c r="Y40" i="16"/>
  <c r="Y81" i="1"/>
  <c r="Y82" i="1"/>
  <c r="Y83" i="1"/>
  <c r="Y84" i="1"/>
  <c r="H61" i="1" l="1"/>
  <c r="H59" i="1"/>
  <c r="F52" i="1"/>
  <c r="F54" i="1" s="1"/>
  <c r="H54" i="1"/>
  <c r="H48" i="1"/>
  <c r="H45" i="1"/>
  <c r="H66" i="30"/>
  <c r="H67" i="30"/>
  <c r="H78" i="30"/>
  <c r="F59" i="1" l="1"/>
  <c r="F61" i="1" s="1"/>
  <c r="P6" i="33" l="1"/>
  <c r="Z6" i="33"/>
  <c r="Y55" i="33"/>
  <c r="Y56" i="33"/>
  <c r="O56" i="33"/>
  <c r="H56" i="33"/>
  <c r="O55" i="33"/>
  <c r="H55" i="33"/>
  <c r="Y54" i="33"/>
  <c r="O54" i="33"/>
  <c r="H54" i="33"/>
  <c r="Y53" i="33"/>
  <c r="H53" i="33"/>
  <c r="Y52" i="33"/>
  <c r="H52" i="33"/>
  <c r="Y51" i="33"/>
  <c r="H51" i="33"/>
  <c r="Y50" i="33"/>
  <c r="H50" i="33"/>
  <c r="Y49" i="33"/>
  <c r="H49" i="33"/>
  <c r="Y48" i="33"/>
  <c r="H48" i="33"/>
  <c r="Y47" i="33"/>
  <c r="H47" i="33"/>
  <c r="Y46" i="33"/>
  <c r="H46" i="33"/>
  <c r="Y17" i="33"/>
  <c r="Y18" i="33"/>
  <c r="Y19" i="33"/>
  <c r="Y20" i="33"/>
  <c r="Y71" i="1"/>
  <c r="Y70" i="1"/>
  <c r="Y69" i="1"/>
  <c r="F69" i="1"/>
  <c r="F71" i="1" s="1"/>
  <c r="Y68" i="1"/>
  <c r="G46" i="33" l="1"/>
  <c r="Y83" i="30" l="1"/>
  <c r="O83" i="30"/>
  <c r="H83" i="30"/>
  <c r="Y82" i="30"/>
  <c r="O82" i="30"/>
  <c r="H82" i="30"/>
  <c r="P12" i="1" l="1"/>
  <c r="Y53" i="26"/>
  <c r="O53" i="26"/>
  <c r="H53" i="26"/>
  <c r="Y52" i="26"/>
  <c r="O52" i="26"/>
  <c r="H52" i="26"/>
  <c r="Y54" i="1"/>
  <c r="Y53" i="1"/>
  <c r="Y52" i="1"/>
  <c r="H86" i="16" l="1"/>
  <c r="O86" i="16"/>
  <c r="Y86" i="16"/>
  <c r="H87" i="16"/>
  <c r="O87" i="16"/>
  <c r="Y87" i="16"/>
  <c r="H88" i="16"/>
  <c r="O88" i="16"/>
  <c r="Y88" i="16"/>
  <c r="H89" i="16"/>
  <c r="O89" i="16"/>
  <c r="Y89" i="16"/>
  <c r="H90" i="16"/>
  <c r="O90" i="16"/>
  <c r="Y90" i="16"/>
  <c r="Y85" i="16"/>
  <c r="O85" i="16"/>
  <c r="H85" i="16"/>
  <c r="Y84" i="16"/>
  <c r="O84" i="16"/>
  <c r="H84" i="16"/>
  <c r="Y83" i="16"/>
  <c r="O83" i="16"/>
  <c r="H83" i="16"/>
  <c r="J6" i="4" l="1"/>
  <c r="K6" i="4"/>
  <c r="L6" i="4"/>
  <c r="M6" i="4"/>
  <c r="N6" i="4"/>
  <c r="H29" i="31"/>
  <c r="H30" i="31"/>
  <c r="H31" i="31"/>
  <c r="H32" i="31"/>
  <c r="H33" i="31"/>
  <c r="Y31" i="33"/>
  <c r="Y32" i="33"/>
  <c r="Y33" i="33"/>
  <c r="Y34" i="33"/>
  <c r="Y35" i="33"/>
  <c r="Y36" i="33"/>
  <c r="Y37" i="33"/>
  <c r="Y38" i="33"/>
  <c r="H31" i="33"/>
  <c r="H32" i="33"/>
  <c r="H33" i="33"/>
  <c r="H34" i="33"/>
  <c r="H35" i="33"/>
  <c r="H36" i="33"/>
  <c r="H37" i="33"/>
  <c r="H38" i="33"/>
  <c r="H63" i="4" l="1"/>
  <c r="H62" i="4"/>
  <c r="H39" i="32"/>
  <c r="H40" i="32"/>
  <c r="H41" i="32"/>
  <c r="H79" i="1" l="1"/>
  <c r="H80" i="1" s="1"/>
  <c r="H21" i="32" l="1"/>
  <c r="H22" i="32"/>
  <c r="O21" i="32"/>
  <c r="O22" i="32"/>
  <c r="Y21" i="32"/>
  <c r="Y22" i="32"/>
  <c r="Y25" i="32"/>
  <c r="O25" i="32"/>
  <c r="H25" i="32"/>
  <c r="Y24" i="32"/>
  <c r="O24" i="32"/>
  <c r="H24" i="32"/>
  <c r="Y23" i="32"/>
  <c r="O23" i="32"/>
  <c r="H23" i="32"/>
  <c r="Y28" i="32"/>
  <c r="O28" i="32"/>
  <c r="H28" i="32"/>
  <c r="Y27" i="32"/>
  <c r="O27" i="32"/>
  <c r="H27" i="32"/>
  <c r="AC25" i="1" l="1"/>
  <c r="AD25" i="1"/>
  <c r="AE25" i="1"/>
  <c r="AA25" i="1"/>
  <c r="AB25" i="1"/>
  <c r="Y31" i="1"/>
  <c r="Y30" i="1"/>
  <c r="Y34" i="1"/>
  <c r="H34" i="1"/>
  <c r="Y33" i="1"/>
  <c r="Y32" i="1"/>
  <c r="H31" i="1"/>
  <c r="Y69" i="30"/>
  <c r="O69" i="30"/>
  <c r="H69" i="30"/>
  <c r="Y68" i="30"/>
  <c r="O68" i="30"/>
  <c r="H68" i="30"/>
  <c r="Y66" i="1" l="1"/>
  <c r="Y65" i="1"/>
  <c r="Y64" i="1"/>
  <c r="F64" i="1"/>
  <c r="F66" i="1" s="1"/>
  <c r="Y63" i="1"/>
  <c r="Y62" i="1"/>
  <c r="Y26" i="16" l="1"/>
  <c r="O27" i="16"/>
  <c r="H27" i="16"/>
  <c r="O69" i="16"/>
  <c r="O73" i="16"/>
  <c r="O74" i="16"/>
  <c r="O75" i="16"/>
  <c r="O76" i="16"/>
  <c r="O77" i="16"/>
  <c r="O78" i="16"/>
  <c r="O91" i="16"/>
  <c r="O92" i="16"/>
  <c r="Y69" i="16"/>
  <c r="Y73" i="16"/>
  <c r="Y74" i="16"/>
  <c r="Y75" i="16"/>
  <c r="Y76" i="16"/>
  <c r="Y77" i="16"/>
  <c r="Y78" i="16"/>
  <c r="Y91" i="16"/>
  <c r="Y92" i="16"/>
  <c r="H69" i="16"/>
  <c r="H73" i="16"/>
  <c r="H75" i="16"/>
  <c r="H76" i="16"/>
  <c r="H77" i="16"/>
  <c r="H78" i="16"/>
  <c r="H91" i="16"/>
  <c r="H92" i="16"/>
  <c r="H37" i="31"/>
  <c r="O30" i="31"/>
  <c r="F6" i="31"/>
  <c r="Y49" i="31"/>
  <c r="O49" i="31"/>
  <c r="H49" i="31"/>
  <c r="Y48" i="31"/>
  <c r="O48" i="31"/>
  <c r="H48" i="31"/>
  <c r="Y43" i="31"/>
  <c r="O43" i="31"/>
  <c r="H43" i="31"/>
  <c r="Y42" i="31"/>
  <c r="O42" i="31"/>
  <c r="H42" i="31"/>
  <c r="G42" i="31" l="1"/>
  <c r="Y42" i="33" l="1"/>
  <c r="O42" i="33"/>
  <c r="H42" i="33"/>
  <c r="Y40" i="33"/>
  <c r="O40" i="33"/>
  <c r="H40" i="33"/>
  <c r="Y39" i="33"/>
  <c r="O39" i="33"/>
  <c r="H39" i="33"/>
  <c r="Y16" i="33"/>
  <c r="O16" i="33"/>
  <c r="H16" i="33"/>
  <c r="G16" i="33" s="1"/>
  <c r="D14" i="33"/>
  <c r="D36" i="33" s="1"/>
  <c r="D37" i="33" s="1"/>
  <c r="D39" i="33" s="1"/>
  <c r="D42" i="33" s="1"/>
  <c r="X6" i="33"/>
  <c r="W6" i="33"/>
  <c r="V6" i="33"/>
  <c r="U6" i="33"/>
  <c r="T6" i="33"/>
  <c r="N6" i="33"/>
  <c r="M6" i="33"/>
  <c r="L6" i="33"/>
  <c r="K6" i="33"/>
  <c r="J6" i="33"/>
  <c r="P2" i="33"/>
  <c r="D31" i="33" s="1"/>
  <c r="P6" i="31"/>
  <c r="H78" i="31"/>
  <c r="H77" i="31"/>
  <c r="H75" i="31"/>
  <c r="H76" i="31"/>
  <c r="O13" i="1" l="1"/>
  <c r="G31" i="33"/>
  <c r="N2" i="33"/>
  <c r="N13" i="1" s="1"/>
  <c r="Y6" i="33"/>
  <c r="K2" i="33"/>
  <c r="D17" i="33"/>
  <c r="M2" i="33"/>
  <c r="L2" i="33"/>
  <c r="H5" i="33"/>
  <c r="J2" i="33"/>
  <c r="O6" i="33"/>
  <c r="H29" i="1"/>
  <c r="H37" i="1"/>
  <c r="H40" i="1"/>
  <c r="Y34" i="27"/>
  <c r="O34" i="27"/>
  <c r="H34" i="27"/>
  <c r="Y33" i="27"/>
  <c r="O33" i="27"/>
  <c r="H33" i="27"/>
  <c r="Y49" i="26"/>
  <c r="O49" i="26"/>
  <c r="H49" i="26"/>
  <c r="Y48" i="26"/>
  <c r="O48" i="26"/>
  <c r="H48" i="26"/>
  <c r="Y45" i="26"/>
  <c r="O45" i="26"/>
  <c r="H45" i="26"/>
  <c r="Y44" i="26"/>
  <c r="O44" i="26"/>
  <c r="H44" i="26"/>
  <c r="Y41" i="26"/>
  <c r="O41" i="26"/>
  <c r="H41" i="26"/>
  <c r="Y40" i="26"/>
  <c r="O40" i="26"/>
  <c r="H40" i="26"/>
  <c r="Y39" i="26"/>
  <c r="O39" i="26"/>
  <c r="H39" i="26"/>
  <c r="Y38" i="26"/>
  <c r="O38" i="26"/>
  <c r="H38" i="26"/>
  <c r="Y36" i="26"/>
  <c r="O36" i="26"/>
  <c r="H36" i="26"/>
  <c r="Y35" i="26"/>
  <c r="O35" i="26"/>
  <c r="H35" i="26"/>
  <c r="G35" i="26" s="1"/>
  <c r="D34" i="26"/>
  <c r="D33" i="26"/>
  <c r="D32" i="26"/>
  <c r="Y31" i="26"/>
  <c r="O31" i="26"/>
  <c r="H31" i="26"/>
  <c r="Y30" i="26"/>
  <c r="O30" i="26"/>
  <c r="H30" i="26"/>
  <c r="D30" i="26"/>
  <c r="Y29" i="26"/>
  <c r="O29" i="26"/>
  <c r="H29" i="26"/>
  <c r="Y28" i="26"/>
  <c r="O28" i="26"/>
  <c r="H28" i="26"/>
  <c r="Y27" i="26"/>
  <c r="O27" i="26"/>
  <c r="H27" i="26"/>
  <c r="Y26" i="26"/>
  <c r="O26" i="26"/>
  <c r="H26" i="26"/>
  <c r="D26" i="26"/>
  <c r="Y25" i="26"/>
  <c r="O25" i="26"/>
  <c r="H25" i="26"/>
  <c r="D25" i="26"/>
  <c r="Y24" i="26"/>
  <c r="O24" i="26"/>
  <c r="H24" i="26"/>
  <c r="D24" i="26"/>
  <c r="Y23" i="26"/>
  <c r="O23" i="26"/>
  <c r="H23" i="26"/>
  <c r="D23" i="26"/>
  <c r="D27" i="26" s="1"/>
  <c r="Y22" i="26"/>
  <c r="O22" i="26"/>
  <c r="H22" i="26"/>
  <c r="Y21" i="26"/>
  <c r="O21" i="26"/>
  <c r="H21" i="26"/>
  <c r="Y20" i="26"/>
  <c r="O20" i="26"/>
  <c r="H20" i="26"/>
  <c r="Y19" i="26"/>
  <c r="O19" i="26"/>
  <c r="H19" i="26"/>
  <c r="Y18" i="26"/>
  <c r="O18" i="26"/>
  <c r="H18" i="26"/>
  <c r="Y17" i="26"/>
  <c r="O17" i="26"/>
  <c r="H17" i="26"/>
  <c r="Y16" i="26"/>
  <c r="O16" i="26"/>
  <c r="H16" i="26"/>
  <c r="D14" i="26"/>
  <c r="D35" i="26" s="1"/>
  <c r="X6" i="26"/>
  <c r="W6" i="26"/>
  <c r="V6" i="26"/>
  <c r="U6" i="26"/>
  <c r="T6" i="26"/>
  <c r="N6" i="26"/>
  <c r="M6" i="26"/>
  <c r="L6" i="26"/>
  <c r="K6" i="26"/>
  <c r="J6" i="26"/>
  <c r="P2" i="26"/>
  <c r="Y32" i="27"/>
  <c r="O32" i="27"/>
  <c r="H32" i="27"/>
  <c r="Y31" i="27"/>
  <c r="O31" i="27"/>
  <c r="H31" i="27"/>
  <c r="Y30" i="27"/>
  <c r="O30" i="27"/>
  <c r="H30" i="27"/>
  <c r="D34" i="27"/>
  <c r="Y29" i="27"/>
  <c r="O29" i="27"/>
  <c r="H29" i="27"/>
  <c r="D33" i="27"/>
  <c r="D32" i="27"/>
  <c r="Y27" i="27"/>
  <c r="O27" i="27"/>
  <c r="H27" i="27"/>
  <c r="Y26" i="27"/>
  <c r="O26" i="27"/>
  <c r="H26" i="27"/>
  <c r="D26" i="27"/>
  <c r="Y25" i="27"/>
  <c r="O25" i="27"/>
  <c r="H25" i="27"/>
  <c r="D25" i="27"/>
  <c r="Y24" i="27"/>
  <c r="O24" i="27"/>
  <c r="H24" i="27"/>
  <c r="D24" i="27"/>
  <c r="Y23" i="27"/>
  <c r="O23" i="27"/>
  <c r="H23" i="27"/>
  <c r="D23" i="27"/>
  <c r="D27" i="27" s="1"/>
  <c r="Y22" i="27"/>
  <c r="O22" i="27"/>
  <c r="H22" i="27"/>
  <c r="Y21" i="27"/>
  <c r="O21" i="27"/>
  <c r="H21" i="27"/>
  <c r="Y20" i="27"/>
  <c r="O20" i="27"/>
  <c r="H20" i="27"/>
  <c r="Y19" i="27"/>
  <c r="O19" i="27"/>
  <c r="H19" i="27"/>
  <c r="Y18" i="27"/>
  <c r="O18" i="27"/>
  <c r="H18" i="27"/>
  <c r="Y17" i="27"/>
  <c r="O17" i="27"/>
  <c r="H17" i="27"/>
  <c r="Y16" i="27"/>
  <c r="O16" i="27"/>
  <c r="H16" i="27"/>
  <c r="D14" i="27"/>
  <c r="D35" i="27" s="1"/>
  <c r="X6" i="27"/>
  <c r="W6" i="27"/>
  <c r="V6" i="27"/>
  <c r="U6" i="27"/>
  <c r="T6" i="27"/>
  <c r="N6" i="27"/>
  <c r="M6" i="27"/>
  <c r="L6" i="27"/>
  <c r="K6" i="27"/>
  <c r="J6" i="27"/>
  <c r="P2" i="27"/>
  <c r="D30" i="27" s="1"/>
  <c r="Y38" i="32"/>
  <c r="Y37" i="32"/>
  <c r="Y36" i="32"/>
  <c r="Y41" i="32"/>
  <c r="O41" i="32"/>
  <c r="Y40" i="32"/>
  <c r="O40" i="32"/>
  <c r="Y39" i="32"/>
  <c r="O39" i="32"/>
  <c r="O38" i="32"/>
  <c r="O37" i="32"/>
  <c r="D34" i="32"/>
  <c r="D33" i="32"/>
  <c r="D32" i="32"/>
  <c r="D26" i="32"/>
  <c r="D25" i="32"/>
  <c r="D24" i="32"/>
  <c r="D23" i="32"/>
  <c r="Y20" i="32"/>
  <c r="O20" i="32"/>
  <c r="H20" i="32"/>
  <c r="Y19" i="32"/>
  <c r="O19" i="32"/>
  <c r="H19" i="32"/>
  <c r="Y18" i="32"/>
  <c r="O18" i="32"/>
  <c r="H18" i="32"/>
  <c r="Y17" i="32"/>
  <c r="O17" i="32"/>
  <c r="H17" i="32"/>
  <c r="Y16" i="32"/>
  <c r="O16" i="32"/>
  <c r="H16" i="32"/>
  <c r="D14" i="32"/>
  <c r="D35" i="32" s="1"/>
  <c r="V6" i="32"/>
  <c r="T6" i="32"/>
  <c r="P2" i="32"/>
  <c r="D30" i="32" s="1"/>
  <c r="Y95" i="16"/>
  <c r="O95" i="16"/>
  <c r="H95" i="16"/>
  <c r="Y94" i="16"/>
  <c r="O94" i="16"/>
  <c r="H94" i="16"/>
  <c r="Y93" i="16"/>
  <c r="O93" i="16"/>
  <c r="H93" i="16"/>
  <c r="G83" i="16" s="1"/>
  <c r="Y68" i="16"/>
  <c r="O68" i="16"/>
  <c r="H68" i="16"/>
  <c r="Y67" i="16"/>
  <c r="O67" i="16"/>
  <c r="H67" i="16"/>
  <c r="Y66" i="16"/>
  <c r="O66" i="16"/>
  <c r="H66" i="16"/>
  <c r="Y65" i="16"/>
  <c r="O65" i="16"/>
  <c r="H65" i="16"/>
  <c r="Y55" i="16"/>
  <c r="O55" i="16"/>
  <c r="H55" i="16"/>
  <c r="Y54" i="16"/>
  <c r="O54" i="16"/>
  <c r="H54" i="16"/>
  <c r="Y53" i="16"/>
  <c r="O53" i="16"/>
  <c r="H53" i="16"/>
  <c r="Y52" i="16"/>
  <c r="O52" i="16"/>
  <c r="H52" i="16"/>
  <c r="Y50" i="16"/>
  <c r="O50" i="16"/>
  <c r="H50" i="16"/>
  <c r="Y49" i="16"/>
  <c r="O49" i="16"/>
  <c r="H49" i="16"/>
  <c r="Y48" i="16"/>
  <c r="O48" i="16"/>
  <c r="H48" i="16"/>
  <c r="Y47" i="16"/>
  <c r="O47" i="16"/>
  <c r="H47" i="16"/>
  <c r="Y43" i="16"/>
  <c r="O43" i="16"/>
  <c r="H43" i="16"/>
  <c r="Y42" i="16"/>
  <c r="O42" i="16"/>
  <c r="H42" i="16"/>
  <c r="Y41" i="16"/>
  <c r="O41" i="16"/>
  <c r="H41" i="16"/>
  <c r="Y36" i="16"/>
  <c r="O36" i="16"/>
  <c r="H36" i="16"/>
  <c r="D34" i="16"/>
  <c r="D33" i="16"/>
  <c r="D32" i="16"/>
  <c r="Y32" i="16"/>
  <c r="O32" i="16"/>
  <c r="H32" i="16"/>
  <c r="Y31" i="16"/>
  <c r="O31" i="16"/>
  <c r="H31" i="16"/>
  <c r="Y30" i="16"/>
  <c r="O30" i="16"/>
  <c r="H30" i="16"/>
  <c r="Y29" i="16"/>
  <c r="O29" i="16"/>
  <c r="H29" i="16"/>
  <c r="Y28" i="16"/>
  <c r="O28" i="16"/>
  <c r="H28" i="16"/>
  <c r="Y27" i="16"/>
  <c r="O26" i="16"/>
  <c r="H26" i="16"/>
  <c r="D26" i="16"/>
  <c r="Y25" i="16"/>
  <c r="O25" i="16"/>
  <c r="H25" i="16"/>
  <c r="D25" i="16"/>
  <c r="Y24" i="16"/>
  <c r="O24" i="16"/>
  <c r="H24" i="16"/>
  <c r="D24" i="16"/>
  <c r="Y23" i="16"/>
  <c r="O23" i="16"/>
  <c r="H23" i="16"/>
  <c r="D23" i="16"/>
  <c r="Y22" i="16"/>
  <c r="O22" i="16"/>
  <c r="H22" i="16"/>
  <c r="Y21" i="16"/>
  <c r="O21" i="16"/>
  <c r="H21" i="16"/>
  <c r="Y20" i="16"/>
  <c r="O20" i="16"/>
  <c r="H20" i="16"/>
  <c r="Y19" i="16"/>
  <c r="O19" i="16"/>
  <c r="H19" i="16"/>
  <c r="Y18" i="16"/>
  <c r="O18" i="16"/>
  <c r="H18" i="16"/>
  <c r="Y17" i="16"/>
  <c r="O17" i="16"/>
  <c r="H17" i="16"/>
  <c r="Y16" i="16"/>
  <c r="O16" i="16"/>
  <c r="H16" i="16"/>
  <c r="D14" i="16"/>
  <c r="D35" i="16" s="1"/>
  <c r="D36" i="16" s="1"/>
  <c r="X6" i="16"/>
  <c r="W6" i="16"/>
  <c r="V6" i="16"/>
  <c r="U6" i="16"/>
  <c r="T6" i="16"/>
  <c r="N6" i="16"/>
  <c r="M6" i="16"/>
  <c r="L6" i="16"/>
  <c r="K6" i="16"/>
  <c r="J6" i="16"/>
  <c r="P2" i="16"/>
  <c r="D30" i="16" s="1"/>
  <c r="Y90" i="4"/>
  <c r="O90" i="4"/>
  <c r="H90" i="4"/>
  <c r="Y89" i="4"/>
  <c r="O89" i="4"/>
  <c r="H89" i="4"/>
  <c r="Y88" i="4"/>
  <c r="O88" i="4"/>
  <c r="H88" i="4"/>
  <c r="Y87" i="4"/>
  <c r="O87" i="4"/>
  <c r="H87" i="4"/>
  <c r="Y86" i="4"/>
  <c r="O86" i="4"/>
  <c r="H86" i="4"/>
  <c r="Y85" i="4"/>
  <c r="O85" i="4"/>
  <c r="H85" i="4"/>
  <c r="Y84" i="4"/>
  <c r="O84" i="4"/>
  <c r="H84" i="4"/>
  <c r="Y81" i="4"/>
  <c r="O81" i="4"/>
  <c r="H81" i="4"/>
  <c r="Y80" i="4"/>
  <c r="O80" i="4"/>
  <c r="H80" i="4"/>
  <c r="Y79" i="4"/>
  <c r="O79" i="4"/>
  <c r="Y74" i="4"/>
  <c r="Y73" i="4"/>
  <c r="Y72" i="4"/>
  <c r="Y70" i="4"/>
  <c r="O70" i="4"/>
  <c r="H70" i="4"/>
  <c r="Y67" i="4"/>
  <c r="O67" i="4"/>
  <c r="H67" i="4"/>
  <c r="Y66" i="4"/>
  <c r="O66" i="4"/>
  <c r="H66" i="4"/>
  <c r="Y61" i="4"/>
  <c r="O61" i="4"/>
  <c r="H61" i="4"/>
  <c r="Y60" i="4"/>
  <c r="O60" i="4"/>
  <c r="H60" i="4"/>
  <c r="Y58" i="4"/>
  <c r="O58" i="4"/>
  <c r="H58" i="4"/>
  <c r="Y57" i="4"/>
  <c r="O57" i="4"/>
  <c r="H57" i="4"/>
  <c r="Y56" i="4"/>
  <c r="O56" i="4"/>
  <c r="H56" i="4"/>
  <c r="Y55" i="4"/>
  <c r="O55" i="4"/>
  <c r="H55" i="4"/>
  <c r="Y54" i="4"/>
  <c r="O54" i="4"/>
  <c r="H54" i="4"/>
  <c r="Y50" i="4"/>
  <c r="O50" i="4"/>
  <c r="Y49" i="4"/>
  <c r="O49" i="4"/>
  <c r="Y48" i="4"/>
  <c r="O48" i="4"/>
  <c r="Y47" i="4"/>
  <c r="O47" i="4"/>
  <c r="Y46" i="4"/>
  <c r="O46" i="4"/>
  <c r="Y45" i="4"/>
  <c r="O45" i="4"/>
  <c r="Y44" i="4"/>
  <c r="O44" i="4"/>
  <c r="Y43" i="4"/>
  <c r="O43" i="4"/>
  <c r="Y42" i="4"/>
  <c r="O42" i="4"/>
  <c r="Y41" i="4"/>
  <c r="O41" i="4"/>
  <c r="Y40" i="4"/>
  <c r="O40" i="4"/>
  <c r="Y39" i="4"/>
  <c r="O39" i="4"/>
  <c r="Y38" i="4"/>
  <c r="O38" i="4"/>
  <c r="Y37" i="4"/>
  <c r="O37" i="4"/>
  <c r="Y36" i="4"/>
  <c r="O36" i="4"/>
  <c r="Y35" i="4"/>
  <c r="O35" i="4"/>
  <c r="H35" i="4"/>
  <c r="D34" i="4"/>
  <c r="D33" i="4"/>
  <c r="D32" i="4"/>
  <c r="Y31" i="4"/>
  <c r="O31" i="4"/>
  <c r="H31" i="4"/>
  <c r="Y30" i="4"/>
  <c r="O30" i="4"/>
  <c r="H30" i="4"/>
  <c r="Y29" i="4"/>
  <c r="O29" i="4"/>
  <c r="H29" i="4"/>
  <c r="Y28" i="4"/>
  <c r="O28" i="4"/>
  <c r="H28" i="4"/>
  <c r="Y27" i="4"/>
  <c r="O27" i="4"/>
  <c r="H27" i="4"/>
  <c r="Y26" i="4"/>
  <c r="O26" i="4"/>
  <c r="H26" i="4"/>
  <c r="Y25" i="4"/>
  <c r="O25" i="4"/>
  <c r="H25" i="4"/>
  <c r="Y24" i="4"/>
  <c r="O24" i="4"/>
  <c r="H24" i="4"/>
  <c r="Y23" i="4"/>
  <c r="O23" i="4"/>
  <c r="H23" i="4"/>
  <c r="D23" i="4"/>
  <c r="D27" i="4" s="1"/>
  <c r="Y22" i="4"/>
  <c r="O22" i="4"/>
  <c r="H22" i="4"/>
  <c r="Y21" i="4"/>
  <c r="O21" i="4"/>
  <c r="H21" i="4"/>
  <c r="Y20" i="4"/>
  <c r="O20" i="4"/>
  <c r="H20" i="4"/>
  <c r="Y19" i="4"/>
  <c r="O19" i="4"/>
  <c r="H19" i="4"/>
  <c r="Y18" i="4"/>
  <c r="O18" i="4"/>
  <c r="H18" i="4"/>
  <c r="Y17" i="4"/>
  <c r="O17" i="4"/>
  <c r="H17" i="4"/>
  <c r="Y16" i="4"/>
  <c r="O16" i="4"/>
  <c r="H16" i="4"/>
  <c r="D14" i="4"/>
  <c r="D35" i="4" s="1"/>
  <c r="X6" i="4"/>
  <c r="W6" i="4"/>
  <c r="V6" i="4"/>
  <c r="U6" i="4"/>
  <c r="T6" i="4"/>
  <c r="P2" i="4"/>
  <c r="D30" i="4" s="1"/>
  <c r="D36" i="4" s="1"/>
  <c r="D37" i="4" s="1"/>
  <c r="Y90" i="31"/>
  <c r="O90" i="31"/>
  <c r="H90" i="31"/>
  <c r="Y89" i="31"/>
  <c r="O89" i="31"/>
  <c r="H89" i="31"/>
  <c r="Y88" i="31"/>
  <c r="O88" i="31"/>
  <c r="H88" i="31"/>
  <c r="Y87" i="31"/>
  <c r="O87" i="31"/>
  <c r="H87" i="31"/>
  <c r="Y86" i="31"/>
  <c r="O86" i="31"/>
  <c r="H86" i="31"/>
  <c r="Y85" i="31"/>
  <c r="O85" i="31"/>
  <c r="H85" i="31"/>
  <c r="Y84" i="31"/>
  <c r="O84" i="31"/>
  <c r="H84" i="31"/>
  <c r="Y80" i="31"/>
  <c r="O80" i="31"/>
  <c r="H80" i="31"/>
  <c r="Y79" i="31"/>
  <c r="O79" i="31"/>
  <c r="H79" i="31"/>
  <c r="Y78" i="31"/>
  <c r="O78" i="31"/>
  <c r="Y77" i="31"/>
  <c r="O77" i="31"/>
  <c r="Y76" i="31"/>
  <c r="O76" i="31"/>
  <c r="Y75" i="31"/>
  <c r="O75" i="31"/>
  <c r="Y74" i="31"/>
  <c r="O74" i="31"/>
  <c r="H74" i="31"/>
  <c r="G76" i="31" s="1"/>
  <c r="Y66" i="31"/>
  <c r="O66" i="31"/>
  <c r="H66" i="31"/>
  <c r="Y65" i="31"/>
  <c r="O65" i="31"/>
  <c r="H65" i="31"/>
  <c r="Y64" i="31"/>
  <c r="O64" i="31"/>
  <c r="H64" i="31"/>
  <c r="Y63" i="31"/>
  <c r="O63" i="31"/>
  <c r="H63" i="31"/>
  <c r="Y61" i="31"/>
  <c r="O61" i="31"/>
  <c r="H61" i="31"/>
  <c r="Y60" i="31"/>
  <c r="O60" i="31"/>
  <c r="H60" i="31"/>
  <c r="Y54" i="31"/>
  <c r="O54" i="31"/>
  <c r="H54" i="31"/>
  <c r="Y53" i="31"/>
  <c r="O53" i="31"/>
  <c r="H53" i="31"/>
  <c r="D34" i="31"/>
  <c r="D33" i="31"/>
  <c r="D32" i="31"/>
  <c r="Y38" i="31"/>
  <c r="O38" i="31"/>
  <c r="H38" i="31"/>
  <c r="O37" i="31"/>
  <c r="Y29" i="31"/>
  <c r="O29" i="31"/>
  <c r="D26" i="31"/>
  <c r="D25" i="31"/>
  <c r="D24" i="31"/>
  <c r="Y25" i="31"/>
  <c r="O25" i="31"/>
  <c r="H25" i="31"/>
  <c r="D23" i="31"/>
  <c r="Y24" i="31"/>
  <c r="O24" i="31"/>
  <c r="Y21" i="31"/>
  <c r="O21" i="31"/>
  <c r="H21" i="31"/>
  <c r="Y20" i="31"/>
  <c r="O20" i="31"/>
  <c r="H20" i="31"/>
  <c r="Y19" i="31"/>
  <c r="O19" i="31"/>
  <c r="H19" i="31"/>
  <c r="Y18" i="31"/>
  <c r="O18" i="31"/>
  <c r="H18" i="31"/>
  <c r="Y17" i="31"/>
  <c r="O17" i="31"/>
  <c r="H17" i="31"/>
  <c r="Y16" i="31"/>
  <c r="O16" i="31"/>
  <c r="H16" i="31"/>
  <c r="D14" i="31"/>
  <c r="D35" i="31" s="1"/>
  <c r="X6" i="31"/>
  <c r="W6" i="31"/>
  <c r="V6" i="31"/>
  <c r="U6" i="31"/>
  <c r="T6" i="31"/>
  <c r="N6" i="31"/>
  <c r="M6" i="31"/>
  <c r="L6" i="31"/>
  <c r="K6" i="31"/>
  <c r="P2" i="31"/>
  <c r="D30" i="31" s="1"/>
  <c r="U6" i="30"/>
  <c r="V6" i="30"/>
  <c r="W6" i="30"/>
  <c r="X6" i="30"/>
  <c r="T6" i="30"/>
  <c r="K6" i="30"/>
  <c r="L6" i="30"/>
  <c r="M6" i="30"/>
  <c r="N6" i="30"/>
  <c r="J6" i="30"/>
  <c r="D36" i="31" l="1"/>
  <c r="D37" i="31" s="1"/>
  <c r="D38" i="31" s="1"/>
  <c r="G67" i="16"/>
  <c r="G61" i="16"/>
  <c r="E61" i="16" s="1"/>
  <c r="G12" i="31"/>
  <c r="AD3" i="27"/>
  <c r="G12" i="4"/>
  <c r="H5" i="4"/>
  <c r="H6" i="4" s="1"/>
  <c r="H6" i="33"/>
  <c r="P13" i="1"/>
  <c r="N2" i="26"/>
  <c r="N12" i="1" s="1"/>
  <c r="O6" i="26"/>
  <c r="K2" i="26"/>
  <c r="L2" i="16"/>
  <c r="G16" i="32"/>
  <c r="G19" i="32" s="1"/>
  <c r="O2" i="33"/>
  <c r="O6" i="31"/>
  <c r="D17" i="31" s="1"/>
  <c r="J2" i="26"/>
  <c r="G73" i="4"/>
  <c r="G86" i="4"/>
  <c r="G54" i="4"/>
  <c r="N2" i="27"/>
  <c r="N11" i="1" s="1"/>
  <c r="D36" i="27"/>
  <c r="D37" i="27" s="1"/>
  <c r="K2" i="27"/>
  <c r="M2" i="26"/>
  <c r="L2" i="26"/>
  <c r="Y6" i="26"/>
  <c r="D4" i="26" s="1"/>
  <c r="G16" i="26"/>
  <c r="L2" i="31"/>
  <c r="G53" i="31"/>
  <c r="G16" i="31"/>
  <c r="G29" i="31"/>
  <c r="G86" i="31"/>
  <c r="D27" i="31"/>
  <c r="J2" i="31"/>
  <c r="Y6" i="31"/>
  <c r="K2" i="31"/>
  <c r="M2" i="31"/>
  <c r="D18" i="33"/>
  <c r="D19" i="33" s="1"/>
  <c r="D45" i="33" s="1"/>
  <c r="D2" i="33" s="1"/>
  <c r="N2" i="31"/>
  <c r="N2" i="4"/>
  <c r="D17" i="4"/>
  <c r="O6" i="4"/>
  <c r="G16" i="4"/>
  <c r="M2" i="4"/>
  <c r="G35" i="4"/>
  <c r="J2" i="4"/>
  <c r="H5" i="31"/>
  <c r="H6" i="31" s="1"/>
  <c r="M2" i="16"/>
  <c r="K2" i="16"/>
  <c r="D17" i="16"/>
  <c r="H5" i="16"/>
  <c r="H6" i="16" s="1"/>
  <c r="G36" i="16"/>
  <c r="G47" i="16"/>
  <c r="Y6" i="16"/>
  <c r="N2" i="16"/>
  <c r="G16" i="16"/>
  <c r="D27" i="16"/>
  <c r="D38" i="16" s="1"/>
  <c r="D41" i="16" s="1"/>
  <c r="O6" i="16"/>
  <c r="J2" i="16"/>
  <c r="H6" i="26"/>
  <c r="Y6" i="4"/>
  <c r="L2" i="4"/>
  <c r="O6" i="27"/>
  <c r="H5" i="27"/>
  <c r="M2" i="27"/>
  <c r="L2" i="27"/>
  <c r="G16" i="27"/>
  <c r="J2" i="27"/>
  <c r="Y6" i="27"/>
  <c r="O2" i="27" s="1"/>
  <c r="D36" i="26"/>
  <c r="D37" i="26" s="1"/>
  <c r="D17" i="26"/>
  <c r="D17" i="27"/>
  <c r="D27" i="32"/>
  <c r="D36" i="32" s="1"/>
  <c r="D37" i="32" s="1"/>
  <c r="K2" i="4"/>
  <c r="Y81" i="30"/>
  <c r="O81" i="30"/>
  <c r="H81" i="30"/>
  <c r="Y80" i="30"/>
  <c r="O80" i="30"/>
  <c r="H80" i="30"/>
  <c r="Y79" i="30"/>
  <c r="O79" i="30"/>
  <c r="Y78" i="30"/>
  <c r="O78" i="30"/>
  <c r="Y77" i="30"/>
  <c r="O77" i="30"/>
  <c r="H77" i="30"/>
  <c r="Y76" i="30"/>
  <c r="O76" i="30"/>
  <c r="H76" i="30"/>
  <c r="Y75" i="30"/>
  <c r="O75" i="30"/>
  <c r="H75" i="30"/>
  <c r="Y72" i="30"/>
  <c r="O72" i="30"/>
  <c r="H72" i="30"/>
  <c r="Y70" i="30"/>
  <c r="O70" i="30"/>
  <c r="H70" i="30"/>
  <c r="Y65" i="30"/>
  <c r="O65" i="30"/>
  <c r="H65" i="30"/>
  <c r="O64" i="30"/>
  <c r="H64" i="30"/>
  <c r="Y62" i="30"/>
  <c r="O62" i="30"/>
  <c r="H62" i="30"/>
  <c r="Y61" i="30"/>
  <c r="O61" i="30"/>
  <c r="H61" i="30"/>
  <c r="Y60" i="30"/>
  <c r="O60" i="30"/>
  <c r="H60" i="30"/>
  <c r="Y59" i="30"/>
  <c r="O59" i="30"/>
  <c r="H59" i="30"/>
  <c r="Y58" i="30"/>
  <c r="O58" i="30"/>
  <c r="H58" i="30"/>
  <c r="Y57" i="30"/>
  <c r="O57" i="30"/>
  <c r="H57" i="30"/>
  <c r="Y56" i="30"/>
  <c r="O56" i="30"/>
  <c r="H56" i="30"/>
  <c r="Y55" i="30"/>
  <c r="O55" i="30"/>
  <c r="H55" i="30"/>
  <c r="Y54" i="30"/>
  <c r="O54" i="30"/>
  <c r="H54" i="30"/>
  <c r="Y53" i="30"/>
  <c r="O53" i="30"/>
  <c r="Y52" i="30"/>
  <c r="O52" i="30"/>
  <c r="Y51" i="30"/>
  <c r="O51" i="30"/>
  <c r="Y50" i="30"/>
  <c r="O50" i="30"/>
  <c r="Y49" i="30"/>
  <c r="O49" i="30"/>
  <c r="Y48" i="30"/>
  <c r="O48" i="30"/>
  <c r="Y47" i="30"/>
  <c r="O47" i="30"/>
  <c r="Y43" i="30"/>
  <c r="O43" i="30"/>
  <c r="H43" i="30"/>
  <c r="Y42" i="30"/>
  <c r="O42" i="30"/>
  <c r="H42" i="30"/>
  <c r="Y41" i="30"/>
  <c r="O41" i="30"/>
  <c r="H41" i="30"/>
  <c r="Y40" i="30"/>
  <c r="O40" i="30"/>
  <c r="H40" i="30"/>
  <c r="Y39" i="30"/>
  <c r="O39" i="30"/>
  <c r="H39" i="30"/>
  <c r="Y38" i="30"/>
  <c r="O38" i="30"/>
  <c r="H38" i="30"/>
  <c r="Y37" i="30"/>
  <c r="O37" i="30"/>
  <c r="H37" i="30"/>
  <c r="Y36" i="30"/>
  <c r="O36" i="30"/>
  <c r="H36" i="30"/>
  <c r="Y35" i="30"/>
  <c r="O35" i="30"/>
  <c r="H35" i="30"/>
  <c r="Y34" i="30"/>
  <c r="O34" i="30"/>
  <c r="H34" i="30"/>
  <c r="Y33" i="30"/>
  <c r="O33" i="30"/>
  <c r="H33" i="30"/>
  <c r="Y32" i="30"/>
  <c r="O32" i="30"/>
  <c r="H32" i="30"/>
  <c r="D34" i="30"/>
  <c r="D33" i="30"/>
  <c r="D32" i="30"/>
  <c r="Y28" i="30"/>
  <c r="O28" i="30"/>
  <c r="H28" i="30"/>
  <c r="Y27" i="30"/>
  <c r="O27" i="30"/>
  <c r="H27" i="30"/>
  <c r="Y26" i="30"/>
  <c r="O26" i="30"/>
  <c r="H26" i="30"/>
  <c r="D26" i="30"/>
  <c r="Y25" i="30"/>
  <c r="O25" i="30"/>
  <c r="H25" i="30"/>
  <c r="D25" i="30"/>
  <c r="Y24" i="30"/>
  <c r="O24" i="30"/>
  <c r="H24" i="30"/>
  <c r="D24" i="30"/>
  <c r="Y23" i="30"/>
  <c r="O23" i="30"/>
  <c r="H23" i="30"/>
  <c r="D23" i="30"/>
  <c r="Y22" i="30"/>
  <c r="O22" i="30"/>
  <c r="H22" i="30"/>
  <c r="Y21" i="30"/>
  <c r="O21" i="30"/>
  <c r="H21" i="30"/>
  <c r="Y20" i="30"/>
  <c r="O20" i="30"/>
  <c r="H20" i="30"/>
  <c r="Y19" i="30"/>
  <c r="O19" i="30"/>
  <c r="H19" i="30"/>
  <c r="Y18" i="30"/>
  <c r="O18" i="30"/>
  <c r="H18" i="30"/>
  <c r="Y17" i="30"/>
  <c r="O17" i="30"/>
  <c r="H17" i="30"/>
  <c r="Y16" i="30"/>
  <c r="O16" i="30"/>
  <c r="H16" i="30"/>
  <c r="D14" i="30"/>
  <c r="D35" i="30" s="1"/>
  <c r="N2" i="30"/>
  <c r="M2" i="30"/>
  <c r="K2" i="30"/>
  <c r="J2" i="30"/>
  <c r="D30" i="30"/>
  <c r="L2" i="30"/>
  <c r="D32" i="1"/>
  <c r="D31" i="1"/>
  <c r="D18" i="27" l="1"/>
  <c r="D19" i="27" s="1"/>
  <c r="D40" i="27" s="1"/>
  <c r="D2" i="27" s="1"/>
  <c r="H6" i="27"/>
  <c r="P11" i="1"/>
  <c r="D18" i="26"/>
  <c r="D19" i="26"/>
  <c r="D40" i="26" s="1"/>
  <c r="D3" i="26" s="1"/>
  <c r="D2" i="26" s="1"/>
  <c r="O2" i="31"/>
  <c r="G77" i="30"/>
  <c r="O2" i="4"/>
  <c r="D27" i="30"/>
  <c r="D36" i="30" s="1"/>
  <c r="D37" i="30" s="1"/>
  <c r="O2" i="26"/>
  <c r="O6" i="30"/>
  <c r="G32" i="30"/>
  <c r="G16" i="30"/>
  <c r="D18" i="31"/>
  <c r="D19" i="31" s="1"/>
  <c r="D2" i="31" s="1"/>
  <c r="A7" i="31" s="1"/>
  <c r="G47" i="30"/>
  <c r="Y6" i="30"/>
  <c r="D18" i="4"/>
  <c r="D19" i="4" s="1"/>
  <c r="D18" i="16"/>
  <c r="D19" i="16" s="1"/>
  <c r="D44" i="16" s="1"/>
  <c r="D2" i="16" s="1"/>
  <c r="O2" i="16"/>
  <c r="D18" i="30"/>
  <c r="D17" i="30"/>
  <c r="D35" i="1"/>
  <c r="D40" i="4" l="1"/>
  <c r="D2" i="4" s="1"/>
  <c r="D19" i="30"/>
  <c r="D40" i="30" s="1"/>
  <c r="D2" i="30" s="1"/>
  <c r="D40" i="1"/>
  <c r="D42" i="1"/>
  <c r="D41" i="1"/>
  <c r="X9" i="1"/>
  <c r="W9" i="1"/>
  <c r="V9" i="1"/>
  <c r="U9" i="1"/>
  <c r="T9" i="1"/>
  <c r="S9" i="1"/>
  <c r="O9" i="1"/>
  <c r="Y11" i="1"/>
  <c r="Y12" i="1"/>
  <c r="Y13" i="1"/>
  <c r="Y14" i="1"/>
  <c r="Y15" i="1"/>
  <c r="Y17" i="1"/>
  <c r="Y18" i="1"/>
  <c r="Y19" i="1"/>
  <c r="Y20" i="1"/>
  <c r="Y21" i="1"/>
  <c r="Y22" i="1"/>
  <c r="Y25" i="1"/>
  <c r="Y26" i="1"/>
  <c r="Y27" i="1"/>
  <c r="Y28" i="1"/>
  <c r="Y29" i="1"/>
  <c r="Y35" i="1"/>
  <c r="Y37" i="1"/>
  <c r="Y38" i="1"/>
  <c r="Y39" i="1"/>
  <c r="Y40" i="1"/>
  <c r="Y42" i="1"/>
  <c r="Y43" i="1"/>
  <c r="Y44" i="1"/>
  <c r="Y45" i="1"/>
  <c r="Y46" i="1"/>
  <c r="Y47" i="1"/>
  <c r="Y48" i="1"/>
  <c r="Y55" i="1"/>
  <c r="Y56" i="1"/>
  <c r="Y57" i="1"/>
  <c r="Y58" i="1"/>
  <c r="Y59" i="1"/>
  <c r="Y60" i="1"/>
  <c r="Y61" i="1"/>
  <c r="Y72" i="1"/>
  <c r="Y74" i="1"/>
  <c r="Y75" i="1"/>
  <c r="Y76" i="1"/>
  <c r="Y77" i="1"/>
  <c r="Y78" i="1"/>
  <c r="Y79" i="1"/>
  <c r="Y80" i="1"/>
  <c r="Y85" i="1"/>
  <c r="Y86" i="1"/>
  <c r="A8" i="4" l="1"/>
  <c r="A9" i="4"/>
  <c r="A7" i="4"/>
  <c r="O5" i="1"/>
  <c r="D43" i="1"/>
  <c r="H5" i="32" l="1"/>
  <c r="H6" i="32" l="1"/>
  <c r="P14" i="1"/>
  <c r="F12" i="1" s="1"/>
  <c r="F14" i="1" s="1"/>
  <c r="F20" i="1"/>
  <c r="F22" i="1" s="1"/>
  <c r="F78" i="1"/>
  <c r="F80" i="1" s="1"/>
  <c r="H25" i="1"/>
  <c r="H26" i="1" s="1"/>
  <c r="F38" i="1"/>
  <c r="F40" i="1" s="1"/>
  <c r="Y6" i="32" l="1"/>
  <c r="X6" i="32"/>
  <c r="W6" i="32"/>
  <c r="U6" i="32"/>
  <c r="K6" i="32"/>
  <c r="K2" i="32" l="1"/>
  <c r="K14" i="1" s="1"/>
  <c r="K9" i="1" s="1"/>
  <c r="K5" i="1" s="1"/>
  <c r="N6" i="32"/>
  <c r="N2" i="32" s="1"/>
  <c r="N14" i="1" s="1"/>
  <c r="N9" i="1" s="1"/>
  <c r="N5" i="1" s="1"/>
  <c r="M6" i="32"/>
  <c r="M2" i="32" s="1"/>
  <c r="M14" i="1" s="1"/>
  <c r="M9" i="1" s="1"/>
  <c r="M5" i="1" s="1"/>
  <c r="O6" i="32"/>
  <c r="O2" i="32" s="1"/>
  <c r="L6" i="32"/>
  <c r="L2" i="32" s="1"/>
  <c r="L14" i="1" s="1"/>
  <c r="L9" i="1" s="1"/>
  <c r="L5" i="1" s="1"/>
  <c r="J6" i="32"/>
  <c r="J2" i="32" l="1"/>
  <c r="D17" i="32"/>
  <c r="D18" i="32" l="1"/>
  <c r="D19" i="32" s="1"/>
  <c r="D40" i="32" s="1"/>
  <c r="D2" i="32" s="1"/>
  <c r="J14" i="1"/>
  <c r="J9" i="1" s="1"/>
  <c r="J5" i="1" s="1"/>
  <c r="D24" i="1" s="1"/>
  <c r="D21" i="1" l="1"/>
  <c r="D16" i="1" l="1"/>
  <c r="D44" i="1" l="1"/>
  <c r="D45" i="1" s="1"/>
  <c r="D47" i="1" s="1"/>
  <c r="D27" i="1" l="1"/>
  <c r="D50" i="1" s="1"/>
  <c r="D5" i="1" s="1"/>
  <c r="A12" i="1" l="1"/>
  <c r="A11" i="1"/>
  <c r="A10" i="1"/>
  <c r="A7" i="1" l="1"/>
  <c r="H5" i="30" l="1"/>
  <c r="H6" i="30" s="1"/>
  <c r="G12" i="30"/>
  <c r="S2" i="30" l="1"/>
  <c r="F12" i="30"/>
  <c r="I12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</authors>
  <commentList>
    <comment ref="B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1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1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4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O22" authorId="1" shapeId="0" xr:uid="{00000000-0006-0000-04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Radishes.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68E1A41D-020F-4430-835C-DD29A8F98BC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4EED67E0-11CE-4053-994E-E7A763E2C62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11D58A54-F610-42B4-A59F-90578E1380A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881866EA-335A-440D-9162-7A861200887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55DB4083-8C90-404A-9D9B-8700A00E4A2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64" authorId="0" shapeId="0" xr:uid="{4555A512-3230-470A-B0A4-6799F2F69B8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5D731D2D-40E9-4EB7-A1C1-290AA8375E0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FA221C9E-8A71-442F-9443-EC7448776ED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B14F59E9-5D34-4D91-9B66-E0CCB6746F2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6DD586B9-6118-49A8-8B62-13C6D89F2BD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58E959AA-B76C-423A-9EE3-649E264F75B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60" authorId="0" shapeId="0" xr:uid="{EA30C059-45DF-430D-9C7D-B71430BD7EC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62" authorId="0" shapeId="0" xr:uid="{D82F5122-803B-4B30-8F23-AC7D51137D9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John</author>
  </authors>
  <commentList>
    <comment ref="B7" authorId="0" shapeId="0" xr:uid="{97F0BBF5-D6D9-4806-A9CF-EFE1354E228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DAF394F9-DC8B-4932-8582-45B819EC708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EAD5316C-2895-42AA-89E7-D125EFA87F6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EDE8B830-12C0-4C60-97A1-05149C3C6F3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50399B4D-2CC7-4B73-BACD-BDF2A22E41B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G63" authorId="1" shapeId="0" xr:uid="{B0A14319-0CFD-469A-9198-E85F17C433C4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Owned by Garriel and Alanna</t>
        </r>
      </text>
    </comment>
    <comment ref="I63" authorId="0" shapeId="0" xr:uid="{2886F8A5-8032-4316-98BD-FBC7B5DA3F5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G66" authorId="1" shapeId="0" xr:uid="{6D3E2FA5-597B-427E-9EBE-635EC9C6942D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This is because of the split nature of the Merc Barracks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ABA1EB32-F7A6-4FA7-881A-E8BD6C5392A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A2C681E1-7F7B-4205-B1C6-EC0180C9C6C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A47FF8A6-B9D5-4063-8177-C7849B6551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57E4EA6D-106E-40E1-BB75-144E4ACF425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3" authorId="0" shapeId="0" xr:uid="{D5DDB365-5F3D-40B5-B45B-B0427846C4A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52" authorId="0" shapeId="0" xr:uid="{88066BF9-2F61-4C64-A76F-9E2202FD65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8EFFF4E6-D352-4F08-A244-6E97316C384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6DFBDF96-E613-43DA-AD7F-3823D433D51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372E5C36-96AB-4607-A588-A132D521ED7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E76968E7-C0A8-4EEE-B2CF-CBFD40427C8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FB6F512E-D4BC-46D9-81B6-D5C9281AACF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27" authorId="0" shapeId="0" xr:uid="{E88AA846-C49C-4C0D-859C-A9484AF2A40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43" authorId="0" shapeId="0" xr:uid="{BC8FA8FB-628D-419C-BCB7-DBCF1072F39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5A3021BC-A8A4-46FE-836A-42E79B13A2C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BDE6ED30-1C2F-44AF-A8FE-7528EA9451A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71A4825C-7BAB-476B-A7DA-9FE6131AC0F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AB902766-14D5-4462-88CD-F65239C14CE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A69C3B16-87B1-47EF-BCF4-182EC05C9DC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29" authorId="0" shapeId="0" xr:uid="{8C0AB7E1-6E60-4E11-BDAB-223BDEC71D8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8F6B149E-0DC8-4F97-A083-D9A7C63CEDD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B96052B6-1E9B-489A-9433-EC1CFEF34A7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1D07D788-BE5E-4DBD-9C44-B08C368C4A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81E6C38E-CC48-4459-BD6F-67A178F6800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2E7C24EB-FF5D-4681-BB28-CD932DDEE3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4DA9EB6C-AFA5-4A98-90AE-9814E47AF36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66C707AC-7E0E-43BA-83D4-E75A8A52E2C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42068DE7-80A3-4C82-9533-0A87ED8C1F1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33BCBD91-818A-424D-9B75-EF40142868C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71138A83-4C23-4C52-BE47-F746C8C800C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38" authorId="0" shapeId="0" xr:uid="{6E4AEA56-A0D4-41D5-8234-0AAACD6AD2C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R38" authorId="0" shapeId="0" xr:uid="{3911DFB5-04A5-42C5-AC8A-A169991C1EE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sharedStrings.xml><?xml version="1.0" encoding="utf-8"?>
<sst xmlns="http://schemas.openxmlformats.org/spreadsheetml/2006/main" count="2406" uniqueCount="566">
  <si>
    <t>Council</t>
  </si>
  <si>
    <t>Leader</t>
  </si>
  <si>
    <t>Moderator</t>
  </si>
  <si>
    <t>General</t>
  </si>
  <si>
    <t xml:space="preserve">Name </t>
  </si>
  <si>
    <t xml:space="preserve">Mod </t>
  </si>
  <si>
    <t>None</t>
  </si>
  <si>
    <t>Total</t>
  </si>
  <si>
    <t>Buildings</t>
  </si>
  <si>
    <t>Holy Grove</t>
  </si>
  <si>
    <t>Economy</t>
  </si>
  <si>
    <t>Owned by Investors</t>
  </si>
  <si>
    <t>Stewardship</t>
  </si>
  <si>
    <t>Core Economy</t>
  </si>
  <si>
    <t>Investors Taxes.</t>
  </si>
  <si>
    <t>Owned by the Stonghold</t>
  </si>
  <si>
    <t>Roads</t>
  </si>
  <si>
    <t>Highways</t>
  </si>
  <si>
    <t>Canals</t>
  </si>
  <si>
    <t>INCOME</t>
  </si>
  <si>
    <t>Semi-Wilderness</t>
  </si>
  <si>
    <t>Rural</t>
  </si>
  <si>
    <t>Urban</t>
  </si>
  <si>
    <t>City Districts</t>
  </si>
  <si>
    <t>R</t>
  </si>
  <si>
    <t>Subtotal</t>
  </si>
  <si>
    <t>Consumption Mods</t>
  </si>
  <si>
    <t>Income</t>
  </si>
  <si>
    <t>Overall Income</t>
  </si>
  <si>
    <t>Treasurer</t>
  </si>
  <si>
    <t>Magistrate</t>
  </si>
  <si>
    <t>Location</t>
  </si>
  <si>
    <t>Watchtower</t>
  </si>
  <si>
    <t>Totals</t>
  </si>
  <si>
    <t>Effective</t>
  </si>
  <si>
    <t>Hunter's Rest</t>
  </si>
  <si>
    <t>Elkwall</t>
  </si>
  <si>
    <t xml:space="preserve"> SW</t>
  </si>
  <si>
    <t>Type</t>
  </si>
  <si>
    <t>Land</t>
  </si>
  <si>
    <t>Outpost</t>
  </si>
  <si>
    <t>Owner</t>
  </si>
  <si>
    <t>Local Market</t>
  </si>
  <si>
    <t>Serai</t>
  </si>
  <si>
    <t>District Wall</t>
  </si>
  <si>
    <t>Warehouse</t>
  </si>
  <si>
    <t>Roths</t>
  </si>
  <si>
    <t>Ranch (Zorah)</t>
  </si>
  <si>
    <t>Grave Yard (Pharasma)</t>
  </si>
  <si>
    <t>Monument</t>
  </si>
  <si>
    <t>Resouces</t>
  </si>
  <si>
    <t>Ringbridge</t>
  </si>
  <si>
    <t>Public Baths</t>
  </si>
  <si>
    <t>Town Base</t>
  </si>
  <si>
    <t>Orphanage</t>
  </si>
  <si>
    <t>Marshal</t>
  </si>
  <si>
    <t>Consumption</t>
  </si>
  <si>
    <t>Total consumption</t>
  </si>
  <si>
    <t>Stewardship Mods</t>
  </si>
  <si>
    <t>Quinn</t>
  </si>
  <si>
    <t>El</t>
  </si>
  <si>
    <t>Quentin</t>
  </si>
  <si>
    <t>Adoven</t>
  </si>
  <si>
    <t>leMaistre</t>
  </si>
  <si>
    <t>Bar-Z</t>
  </si>
  <si>
    <t>Spend</t>
  </si>
  <si>
    <t>Nature Reserve</t>
  </si>
  <si>
    <t>Arista</t>
  </si>
  <si>
    <t>Rook</t>
  </si>
  <si>
    <t>Size</t>
  </si>
  <si>
    <t>Radishes</t>
  </si>
  <si>
    <t>Brewery</t>
  </si>
  <si>
    <t>Granary</t>
  </si>
  <si>
    <t>Zelona</t>
  </si>
  <si>
    <t>Henry</t>
  </si>
  <si>
    <t>Bank</t>
  </si>
  <si>
    <t>Local market</t>
  </si>
  <si>
    <t>Iron Keep</t>
  </si>
  <si>
    <t>Fiddler / Erastil</t>
  </si>
  <si>
    <t>Henry leMaistre (TN)</t>
  </si>
  <si>
    <t>Rikka (CG)</t>
  </si>
  <si>
    <t>Borric d'Cordain (LG)</t>
  </si>
  <si>
    <t>Council Alignment = NG (Variance 2)</t>
  </si>
  <si>
    <t>Marshall</t>
  </si>
  <si>
    <t>Park</t>
  </si>
  <si>
    <t>WSM</t>
  </si>
  <si>
    <t>Farm</t>
  </si>
  <si>
    <t>Junction</t>
  </si>
  <si>
    <t>Priory (Pharasma)</t>
  </si>
  <si>
    <t>Barracks</t>
  </si>
  <si>
    <t>Redoubt</t>
  </si>
  <si>
    <t>Shipping Office</t>
  </si>
  <si>
    <t>Small Castle</t>
  </si>
  <si>
    <t>Shop</t>
  </si>
  <si>
    <t>Road House</t>
  </si>
  <si>
    <t>Court House</t>
  </si>
  <si>
    <t>Borric</t>
  </si>
  <si>
    <t>Smithy</t>
  </si>
  <si>
    <t>Ironhand</t>
  </si>
  <si>
    <t>Laticia</t>
  </si>
  <si>
    <t>Loy</t>
  </si>
  <si>
    <t>Watch tower</t>
  </si>
  <si>
    <t>Owned by the Governor</t>
  </si>
  <si>
    <t>DELEM Trading</t>
  </si>
  <si>
    <t>Midmarch Rural</t>
  </si>
  <si>
    <t>MW</t>
  </si>
  <si>
    <t>Town Hall</t>
  </si>
  <si>
    <t>Newgate</t>
  </si>
  <si>
    <t>Village</t>
  </si>
  <si>
    <t>Serai (Wintersun)</t>
  </si>
  <si>
    <t>Chapel (Erastil)</t>
  </si>
  <si>
    <t>Whiterun</t>
  </si>
  <si>
    <t>Eastgate</t>
  </si>
  <si>
    <t>Oston</t>
  </si>
  <si>
    <t>Alisa</t>
  </si>
  <si>
    <t>Library</t>
  </si>
  <si>
    <t>Dom</t>
  </si>
  <si>
    <t>Bai</t>
  </si>
  <si>
    <t>Westgate</t>
  </si>
  <si>
    <t>Tatzleford Tavern</t>
  </si>
  <si>
    <t>River Run Brewey</t>
  </si>
  <si>
    <t>Gaius Senas (CG)</t>
  </si>
  <si>
    <t>Aranel Romanese (LN)</t>
  </si>
  <si>
    <t>Alignment NG Variance = 2</t>
  </si>
  <si>
    <t>Holy House (Pharasma)</t>
  </si>
  <si>
    <t>Mother Beatrix</t>
  </si>
  <si>
    <t>Great Shrine</t>
  </si>
  <si>
    <t>Kunlun</t>
  </si>
  <si>
    <t>Iomedae Watchtower w Shrine</t>
  </si>
  <si>
    <t>henry - Guildhall</t>
  </si>
  <si>
    <t>Beatrix</t>
  </si>
  <si>
    <t>Graveyard (Erastil)</t>
  </si>
  <si>
    <t>Dump</t>
  </si>
  <si>
    <t>Jack Black (N)</t>
  </si>
  <si>
    <t>Tib (N)</t>
  </si>
  <si>
    <t>Overall (NG) variance = 2</t>
  </si>
  <si>
    <t>Tatzleford</t>
  </si>
  <si>
    <t>Town</t>
  </si>
  <si>
    <t>V&amp;A Serai</t>
  </si>
  <si>
    <t>_   1x ox-train</t>
  </si>
  <si>
    <t>_____ Mule Train</t>
  </si>
  <si>
    <t xml:space="preserve">Dara </t>
  </si>
  <si>
    <t>leMaistre market</t>
  </si>
  <si>
    <t>Apartment Block</t>
  </si>
  <si>
    <t>Crypt</t>
  </si>
  <si>
    <t>Fort</t>
  </si>
  <si>
    <t>garrison</t>
  </si>
  <si>
    <t>Exotic Carpenter</t>
  </si>
  <si>
    <t>Stable</t>
  </si>
  <si>
    <t>Svetlana (TN)</t>
  </si>
  <si>
    <t>Oleg (TN)</t>
  </si>
  <si>
    <t>Lt Keston Garess (TN)</t>
  </si>
  <si>
    <t>Variance = 2</t>
  </si>
  <si>
    <t>Fiddler (LG)</t>
  </si>
  <si>
    <t>Other</t>
  </si>
  <si>
    <t>carried Over</t>
  </si>
  <si>
    <t>Master</t>
  </si>
  <si>
    <t>Cyrus  (LG)</t>
  </si>
  <si>
    <t>Councilor</t>
  </si>
  <si>
    <t>Valoria (LG)</t>
  </si>
  <si>
    <t>Steward</t>
  </si>
  <si>
    <t>District</t>
  </si>
  <si>
    <t>Ringbridge Manor</t>
  </si>
  <si>
    <t>Zauria (LG)</t>
  </si>
  <si>
    <t xml:space="preserve">V&amp;A Shipping </t>
  </si>
  <si>
    <t>Overall Alignment LG Variance = 3</t>
  </si>
  <si>
    <t>Merchant office</t>
  </si>
  <si>
    <t>Torag's House (monastic)</t>
  </si>
  <si>
    <t>Local Base</t>
  </si>
  <si>
    <t>Silverstone Masonry (Exotic)</t>
  </si>
  <si>
    <t>Umberweed</t>
  </si>
  <si>
    <t>Veeliker</t>
  </si>
  <si>
    <t>Watch Tower</t>
  </si>
  <si>
    <t>(3 slots max size 4)</t>
  </si>
  <si>
    <t>Mound</t>
  </si>
  <si>
    <t>Alanna (NG)</t>
  </si>
  <si>
    <t>Darius (TN)</t>
  </si>
  <si>
    <t>Lutz  (LG)</t>
  </si>
  <si>
    <t>Valguard (LN)</t>
  </si>
  <si>
    <t>variance</t>
  </si>
  <si>
    <t>(LG) = 3</t>
  </si>
  <si>
    <t>Fortified Villa</t>
  </si>
  <si>
    <t>Mine (Iron)</t>
  </si>
  <si>
    <t>New Dawn</t>
  </si>
  <si>
    <t>Road House + Shrine to Cayden</t>
  </si>
  <si>
    <t>Mine (Gold)</t>
  </si>
  <si>
    <t>Gandred's Exotic Smithy</t>
  </si>
  <si>
    <t>Gandred (LG)</t>
  </si>
  <si>
    <t>Graveyard (Pharasma)</t>
  </si>
  <si>
    <t>Community Centre</t>
  </si>
  <si>
    <t>_Mule Trains</t>
  </si>
  <si>
    <t>Abadar</t>
  </si>
  <si>
    <t>Riverway</t>
  </si>
  <si>
    <t>Paved |Roads</t>
  </si>
  <si>
    <t>Gt Shrine</t>
  </si>
  <si>
    <t>Fiddler</t>
  </si>
  <si>
    <t>Gt Shrine (Erastil)</t>
  </si>
  <si>
    <t>WSM Shop</t>
  </si>
  <si>
    <t>Rope walk (Craft Workshop)</t>
  </si>
  <si>
    <t>Tavern (The Dragonette)</t>
  </si>
  <si>
    <t>West Farm</t>
  </si>
  <si>
    <t>Hamlet</t>
  </si>
  <si>
    <t>Rothyard</t>
  </si>
  <si>
    <t>Hopyard (Advanced farm)</t>
  </si>
  <si>
    <t>Econ</t>
  </si>
  <si>
    <t>Stab</t>
  </si>
  <si>
    <t>Def</t>
  </si>
  <si>
    <t>Mill</t>
  </si>
  <si>
    <t xml:space="preserve">Fort </t>
  </si>
  <si>
    <t>Saddler (craft Workshop)</t>
  </si>
  <si>
    <t>Andalon</t>
  </si>
  <si>
    <t>Delem</t>
  </si>
  <si>
    <t>Valley Ranch</t>
  </si>
  <si>
    <t>Approx Population</t>
  </si>
  <si>
    <t>____ Lodgings (3*)</t>
  </si>
  <si>
    <t>hamlet</t>
  </si>
  <si>
    <t>Great Farm</t>
  </si>
  <si>
    <t>Ranch (Hunters' animals)</t>
  </si>
  <si>
    <t>Population</t>
  </si>
  <si>
    <t xml:space="preserve">Size </t>
  </si>
  <si>
    <t>population</t>
  </si>
  <si>
    <t>Eating House (with shrine)</t>
  </si>
  <si>
    <t>Bar-Z Ranch</t>
  </si>
  <si>
    <t>Iomedae</t>
  </si>
  <si>
    <t>Pharasma (Ethankos)</t>
  </si>
  <si>
    <t>Acavna (Alisa)</t>
  </si>
  <si>
    <t>XP</t>
  </si>
  <si>
    <t>Profitability</t>
  </si>
  <si>
    <t>Spec</t>
  </si>
  <si>
    <t>Tax rate</t>
  </si>
  <si>
    <t xml:space="preserve">Cass </t>
  </si>
  <si>
    <t>Wiz Guild</t>
  </si>
  <si>
    <t>Number</t>
  </si>
  <si>
    <t>Consumption Reductions</t>
  </si>
  <si>
    <t>Consumption Costs</t>
  </si>
  <si>
    <t>Overall Size</t>
  </si>
  <si>
    <t>Cons</t>
  </si>
  <si>
    <t>Description</t>
  </si>
  <si>
    <t>City Upgrades</t>
  </si>
  <si>
    <t>xxxx</t>
  </si>
  <si>
    <t>Do not affect size</t>
  </si>
  <si>
    <t>Ringbridge:Main</t>
  </si>
  <si>
    <t>Size: Max 20</t>
  </si>
  <si>
    <t>CONSUMPTION COSTS</t>
  </si>
  <si>
    <t>CONSUMPTION BONUSES</t>
  </si>
  <si>
    <t>Ringbridge:North</t>
  </si>
  <si>
    <t>Three Ladies</t>
  </si>
  <si>
    <t>School  (3 Ladies)</t>
  </si>
  <si>
    <t xml:space="preserve"> Hinterland</t>
  </si>
  <si>
    <t>Bastion</t>
  </si>
  <si>
    <t>Size: Max 6</t>
  </si>
  <si>
    <t>Hamlet Name</t>
  </si>
  <si>
    <t>District 1 Name</t>
  </si>
  <si>
    <t>Jewellers</t>
  </si>
  <si>
    <t xml:space="preserve"> (Lutz Stigmar)</t>
  </si>
  <si>
    <t xml:space="preserve">Holy House (Torag) </t>
  </si>
  <si>
    <t>(M.Beatrix)</t>
  </si>
  <si>
    <t xml:space="preserve">Pharasmin Graveyard </t>
  </si>
  <si>
    <t>District 2 Name</t>
  </si>
  <si>
    <t>District 3 Name</t>
  </si>
  <si>
    <t>Hinterland</t>
  </si>
  <si>
    <t>The Mines</t>
  </si>
  <si>
    <t>Lutz  Stigmar</t>
  </si>
  <si>
    <t>This is one business.  Defence assigned to Marik</t>
  </si>
  <si>
    <t>Clan Stigmar</t>
  </si>
  <si>
    <t>Merc Barracks</t>
  </si>
  <si>
    <t>Village Name</t>
  </si>
  <si>
    <t>Clan Silverhammer</t>
  </si>
  <si>
    <t>Mayor</t>
  </si>
  <si>
    <t>Overall Alignment ?? Variance = 1</t>
  </si>
  <si>
    <t xml:space="preserve">District 1 </t>
  </si>
  <si>
    <t>Compensation</t>
  </si>
  <si>
    <t>Main</t>
  </si>
  <si>
    <t>Gt Shrine(Yuelral)</t>
  </si>
  <si>
    <t xml:space="preserve">(Ethankos)(Pharasma) </t>
  </si>
  <si>
    <t>V&amp;A</t>
  </si>
  <si>
    <t>City Name</t>
  </si>
  <si>
    <t>Not yet relevant</t>
  </si>
  <si>
    <t>Verna</t>
  </si>
  <si>
    <t xml:space="preserve">Community Jetty </t>
  </si>
  <si>
    <t>Overall Alignment NG Variance = 2</t>
  </si>
  <si>
    <t>Oleg</t>
  </si>
  <si>
    <t>and</t>
  </si>
  <si>
    <t xml:space="preserve">Local Market </t>
  </si>
  <si>
    <t>Svetlana</t>
  </si>
  <si>
    <t>Civic Income</t>
  </si>
  <si>
    <t>Business Income</t>
  </si>
  <si>
    <t>Dead Eye</t>
  </si>
  <si>
    <t>Hamlet = FULL</t>
  </si>
  <si>
    <t>Toll Booth</t>
  </si>
  <si>
    <t>Town (Feyfalls)</t>
  </si>
  <si>
    <t>Litwin Cove</t>
  </si>
  <si>
    <t>Apple Lodge</t>
  </si>
  <si>
    <t>Meeting Hall</t>
  </si>
  <si>
    <t>Village = FULL</t>
  </si>
  <si>
    <t xml:space="preserve"> _ Shallop</t>
  </si>
  <si>
    <t>Pemar deleMaistre</t>
  </si>
  <si>
    <t>Mia Ventus-Maistre</t>
  </si>
  <si>
    <t xml:space="preserve"> - Mule train</t>
  </si>
  <si>
    <t>shop</t>
  </si>
  <si>
    <t>Great Shrine (Erastil)</t>
  </si>
  <si>
    <t>Erastil (Fiddler)</t>
  </si>
  <si>
    <t>Cayden (Adoven)</t>
  </si>
  <si>
    <t>Gt Shrine &amp; Tavern</t>
  </si>
  <si>
    <t>Gt Shrine (Sarenrae)</t>
  </si>
  <si>
    <t>Quin's Tailor (exotic)</t>
  </si>
  <si>
    <t>Bardic College</t>
  </si>
  <si>
    <t>Home Farm</t>
  </si>
  <si>
    <t>Mound Farm</t>
  </si>
  <si>
    <t>Sundance Square</t>
  </si>
  <si>
    <t>Cost</t>
  </si>
  <si>
    <t>Merchant Quarter</t>
  </si>
  <si>
    <t>The Dawn Ward</t>
  </si>
  <si>
    <t>Duskside</t>
  </si>
  <si>
    <t>The Lodge (Military School)</t>
  </si>
  <si>
    <t>Rana</t>
  </si>
  <si>
    <t>Public Bath</t>
  </si>
  <si>
    <t>Well</t>
  </si>
  <si>
    <t>Symphony of Swans (Inn)</t>
  </si>
  <si>
    <t>Cass</t>
  </si>
  <si>
    <t>Noble Estate (Cyrus &amp; Val)</t>
  </si>
  <si>
    <t>Office of Public Works</t>
  </si>
  <si>
    <t>Distrct Wall</t>
  </si>
  <si>
    <t>Wharf</t>
  </si>
  <si>
    <t>Quinn&amp;El</t>
  </si>
  <si>
    <t>Mansion</t>
  </si>
  <si>
    <t>District FULL</t>
  </si>
  <si>
    <t>The general store</t>
  </si>
  <si>
    <t>Green Logging Camp1</t>
  </si>
  <si>
    <t>Tax office</t>
  </si>
  <si>
    <t>MAX SIZE 4</t>
  </si>
  <si>
    <t>Tibham</t>
  </si>
  <si>
    <t>Fortified Villa (Tib)</t>
  </si>
  <si>
    <t>Xp</t>
  </si>
  <si>
    <t>Copper School</t>
  </si>
  <si>
    <t>Central</t>
  </si>
  <si>
    <t>Public School</t>
  </si>
  <si>
    <t>Herbalist (mw)</t>
  </si>
  <si>
    <t>taxidermist (Mw)</t>
  </si>
  <si>
    <t>serai</t>
  </si>
  <si>
    <t>Animal Pens</t>
  </si>
  <si>
    <t>Gt Farm</t>
  </si>
  <si>
    <t>Crft Workshop (Brewer)</t>
  </si>
  <si>
    <t>Paved Streets</t>
  </si>
  <si>
    <t xml:space="preserve">Oleg  &amp; Svetlana Income = </t>
  </si>
  <si>
    <t>Osham</t>
  </si>
  <si>
    <t>Chapel (Abadar)</t>
  </si>
  <si>
    <t>U</t>
  </si>
  <si>
    <t>Apartment block</t>
  </si>
  <si>
    <t>Harwood Farm</t>
  </si>
  <si>
    <t>Anhull Farm</t>
  </si>
  <si>
    <t>Governor</t>
  </si>
  <si>
    <t>Leverson Farm</t>
  </si>
  <si>
    <t>Outpost Palisade</t>
  </si>
  <si>
    <t>beatrix</t>
  </si>
  <si>
    <t>Small Town Wall (main &amp; north)</t>
  </si>
  <si>
    <t>Banked</t>
  </si>
  <si>
    <t>Extus</t>
  </si>
  <si>
    <t>Wyvern Bridge</t>
  </si>
  <si>
    <t>Lt Cdr Coren Lawry</t>
  </si>
  <si>
    <t>Redoubt  (Lt Ellison)</t>
  </si>
  <si>
    <t>Bailiff</t>
  </si>
  <si>
    <t>Chapel</t>
  </si>
  <si>
    <t>Rothvin</t>
  </si>
  <si>
    <t>Vineyard (advanced farm)</t>
  </si>
  <si>
    <t>Hex</t>
  </si>
  <si>
    <t>Community Mill</t>
  </si>
  <si>
    <t>Gt Shrine (Chantry)</t>
  </si>
  <si>
    <t>Vallart</t>
  </si>
  <si>
    <t>Tazleford</t>
  </si>
  <si>
    <t>Dosalic</t>
  </si>
  <si>
    <t>Inn (The Golden Corn)</t>
  </si>
  <si>
    <t>Watchtower (Province)</t>
  </si>
  <si>
    <t>Dosalic Farm</t>
  </si>
  <si>
    <t>Maple&amp;Minia</t>
  </si>
  <si>
    <t>Tannery</t>
  </si>
  <si>
    <t>Logging Camp</t>
  </si>
  <si>
    <t>No further developments allowed</t>
  </si>
  <si>
    <t>Pivate Guard Hire</t>
  </si>
  <si>
    <t>Holy House (Torag)</t>
  </si>
  <si>
    <t>Herbalist Craft (workshop)</t>
  </si>
  <si>
    <t>Craft Workshop  (Foundry)</t>
  </si>
  <si>
    <r>
      <rPr>
        <b/>
        <sz val="14"/>
        <color theme="9" tint="-0.249977111117893"/>
        <rFont val="Calibri"/>
        <family val="2"/>
        <scheme val="minor"/>
      </rPr>
      <t xml:space="preserve">MUST STAY A ONE DISTRICT TOWN </t>
    </r>
    <r>
      <rPr>
        <b/>
        <sz val="14"/>
        <color theme="1"/>
        <rFont val="Calibri"/>
        <family val="2"/>
        <scheme val="minor"/>
      </rPr>
      <t xml:space="preserve">-  </t>
    </r>
  </si>
  <si>
    <t>2u</t>
  </si>
  <si>
    <t>well</t>
  </si>
  <si>
    <t>V&amp;A Shipping)</t>
  </si>
  <si>
    <t>jetty</t>
  </si>
  <si>
    <t>Merchant Store</t>
  </si>
  <si>
    <t>__  Shallop</t>
  </si>
  <si>
    <t>Blont Farm</t>
  </si>
  <si>
    <t>The Quiet Distrct</t>
  </si>
  <si>
    <t>The Noisy Distrct</t>
  </si>
  <si>
    <t>Administrative District</t>
  </si>
  <si>
    <t>Public Gardens</t>
  </si>
  <si>
    <t>Tavern (The Vine and Orchard)</t>
  </si>
  <si>
    <t>Public Garden</t>
  </si>
  <si>
    <t>Tavern (The Bountiful Quiver)</t>
  </si>
  <si>
    <t>Quin/El</t>
  </si>
  <si>
    <t>Gt Tenement</t>
  </si>
  <si>
    <t>Small Wall</t>
  </si>
  <si>
    <t>Observatory</t>
  </si>
  <si>
    <t>max 20</t>
  </si>
  <si>
    <t>Torag (Lutz)</t>
  </si>
  <si>
    <t>Gt Shrine &amp; Craft Workshop</t>
  </si>
  <si>
    <t>Pemar leMaistre</t>
  </si>
  <si>
    <t>Chapel (Andoletta)</t>
  </si>
  <si>
    <t>Gt Shrine (Jalaijatali)</t>
  </si>
  <si>
    <t>Holy House (Cayden)</t>
  </si>
  <si>
    <t>Warf</t>
  </si>
  <si>
    <t>Drains</t>
  </si>
  <si>
    <t>Do  Not Use This Row</t>
  </si>
  <si>
    <t>Winery (brewery)</t>
  </si>
  <si>
    <t>___2x Community Boats</t>
  </si>
  <si>
    <t>Magic Shop (1)</t>
  </si>
  <si>
    <t>Feyfalls Main</t>
  </si>
  <si>
    <t>Feyfalls New</t>
  </si>
  <si>
    <t>Engineers Workshop (Exotic)</t>
  </si>
  <si>
    <t xml:space="preserve">size </t>
  </si>
  <si>
    <t>Pop</t>
  </si>
  <si>
    <t>City Wall (small) (3 District)</t>
  </si>
  <si>
    <t>r1/u2</t>
  </si>
  <si>
    <t>2u/2s</t>
  </si>
  <si>
    <t>Ash Farm</t>
  </si>
  <si>
    <t>Tenement</t>
  </si>
  <si>
    <t>Size: Max 0</t>
  </si>
  <si>
    <t>Hunting Camp</t>
  </si>
  <si>
    <t>Fortified manor</t>
  </si>
  <si>
    <t>Leather worker</t>
  </si>
  <si>
    <t>Alms Houses</t>
  </si>
  <si>
    <t>Boggard</t>
  </si>
  <si>
    <t>M/Wilderness</t>
  </si>
  <si>
    <t>S/Wilderness</t>
  </si>
  <si>
    <t>Overall</t>
  </si>
  <si>
    <t>Community Boats (x2)</t>
  </si>
  <si>
    <t>Beatrix (Personal)</t>
  </si>
  <si>
    <t>_  3x mule-train</t>
  </si>
  <si>
    <t>__ 3x Mule Train</t>
  </si>
  <si>
    <t>_ 1x Oxtrain</t>
  </si>
  <si>
    <t>Village Farm</t>
  </si>
  <si>
    <t>Estig</t>
  </si>
  <si>
    <t>Sgt Wellerton</t>
  </si>
  <si>
    <t>Henry's Sword School</t>
  </si>
  <si>
    <t>sw</t>
  </si>
  <si>
    <t>Spare</t>
  </si>
  <si>
    <t>Aswel</t>
  </si>
  <si>
    <t>Patrol Boat</t>
  </si>
  <si>
    <t>Courthouse</t>
  </si>
  <si>
    <t>Homton</t>
  </si>
  <si>
    <t>4u</t>
  </si>
  <si>
    <t>Lesser Trade route (Restov)</t>
  </si>
  <si>
    <t>Ringbridge:Outer</t>
  </si>
  <si>
    <t>Graveyard</t>
  </si>
  <si>
    <t>Henry &amp; Bai</t>
  </si>
  <si>
    <t>Gabriel and Alana</t>
  </si>
  <si>
    <t>district Wall</t>
  </si>
  <si>
    <t>Palisade</t>
  </si>
  <si>
    <t>smithy (MW)</t>
  </si>
  <si>
    <t>Craft Workshop (weaver)</t>
  </si>
  <si>
    <t>Craft Workshop (Weaverl)</t>
  </si>
  <si>
    <t>Central District</t>
  </si>
  <si>
    <t>Priory &amp; Graveyard</t>
  </si>
  <si>
    <t>Dockside</t>
  </si>
  <si>
    <t>Mule-Train x2</t>
  </si>
  <si>
    <t>Community Jetty (Fisherman's Quay)</t>
  </si>
  <si>
    <t>Yolen</t>
  </si>
  <si>
    <t>(3 slots max size4)</t>
  </si>
  <si>
    <t>Mint</t>
  </si>
  <si>
    <t>Baroness</t>
  </si>
  <si>
    <r>
      <t>Fortified Villa</t>
    </r>
    <r>
      <rPr>
        <sz val="11"/>
        <color rgb="FFFF0000"/>
        <rFont val="Calibri"/>
        <family val="2"/>
        <scheme val="minor"/>
      </rPr>
      <t xml:space="preserve"> (Yolen)</t>
    </r>
  </si>
  <si>
    <t>Pemar &amp; Mia</t>
  </si>
  <si>
    <t>Stables</t>
  </si>
  <si>
    <t>Exotic Wainright  (Dom)</t>
  </si>
  <si>
    <t>Apothecary MW</t>
  </si>
  <si>
    <t>Night Soil Collectors</t>
  </si>
  <si>
    <t>Fortified Villa (Wilbur)</t>
  </si>
  <si>
    <t>Garrison</t>
  </si>
  <si>
    <t>Pecora</t>
  </si>
  <si>
    <t>Far Bastion</t>
  </si>
  <si>
    <t>Friary + crypt</t>
  </si>
  <si>
    <t>Lord Marik (CG)</t>
  </si>
  <si>
    <t>Bar-z</t>
  </si>
  <si>
    <t>Chapel (Erastil and Jaidi)</t>
  </si>
  <si>
    <t>Sister's of the Moon (MS 1)</t>
  </si>
  <si>
    <t>Sister's of the Moon.</t>
  </si>
  <si>
    <t>House Solanus</t>
  </si>
  <si>
    <t>Fortified Villa (Zauria)</t>
  </si>
  <si>
    <t>Knighthome</t>
  </si>
  <si>
    <t>Fortified Manor</t>
  </si>
  <si>
    <t>Temple</t>
  </si>
  <si>
    <t>Pharasma (Marceline)</t>
  </si>
  <si>
    <t>Florist (shop)</t>
  </si>
  <si>
    <t>Garden &amp; Monument</t>
  </si>
  <si>
    <t>District Walls</t>
  </si>
  <si>
    <t>Shipping  Office</t>
  </si>
  <si>
    <t>Ware House</t>
  </si>
  <si>
    <t>Vallani Trading (town Base)</t>
  </si>
  <si>
    <t>District walls</t>
  </si>
  <si>
    <r>
      <t xml:space="preserve">Safiya's </t>
    </r>
    <r>
      <rPr>
        <sz val="11"/>
        <color rgb="FFFF0000"/>
        <rFont val="Calibri"/>
        <family val="2"/>
        <scheme val="minor"/>
      </rPr>
      <t>Mansion</t>
    </r>
  </si>
  <si>
    <t>Magic Shop (3)</t>
  </si>
  <si>
    <r>
      <rPr>
        <b/>
        <sz val="11"/>
        <rFont val="Calibri"/>
        <family val="2"/>
        <scheme val="minor"/>
      </rPr>
      <t xml:space="preserve">Vallani Trading </t>
    </r>
    <r>
      <rPr>
        <sz val="11"/>
        <rFont val="Calibri"/>
        <family val="2"/>
        <scheme val="minor"/>
      </rPr>
      <t>: Town Base</t>
    </r>
  </si>
  <si>
    <t xml:space="preserve">  _ 3x keeler</t>
  </si>
  <si>
    <t>Alexi Vallani (NG)</t>
  </si>
  <si>
    <t>Difference</t>
  </si>
  <si>
    <t>Warehoue</t>
  </si>
  <si>
    <t>Townbase</t>
  </si>
  <si>
    <t>FULL</t>
  </si>
  <si>
    <r>
      <rPr>
        <sz val="11"/>
        <color rgb="FFFF0000"/>
        <rFont val="Calibri"/>
        <family val="2"/>
        <scheme val="minor"/>
      </rPr>
      <t>Priory</t>
    </r>
    <r>
      <rPr>
        <sz val="11"/>
        <color theme="1"/>
        <rFont val="Calibri"/>
        <family val="2"/>
        <scheme val="minor"/>
      </rPr>
      <t xml:space="preserve"> (Torag) </t>
    </r>
  </si>
  <si>
    <t>Clan Lorson</t>
  </si>
  <si>
    <t>Dwarf School</t>
  </si>
  <si>
    <t>Dance Hall</t>
  </si>
  <si>
    <t>Magical Street Lights</t>
  </si>
  <si>
    <r>
      <rPr>
        <sz val="11"/>
        <color rgb="FFFF0000"/>
        <rFont val="Calibri"/>
        <family val="2"/>
        <scheme val="minor"/>
      </rPr>
      <t xml:space="preserve">Great </t>
    </r>
    <r>
      <rPr>
        <sz val="11"/>
        <color theme="1"/>
        <rFont val="Calibri"/>
        <family val="2"/>
        <scheme val="minor"/>
      </rPr>
      <t>Taldan Bath</t>
    </r>
  </si>
  <si>
    <t>Hotel</t>
  </si>
  <si>
    <t>Amphitheatre</t>
  </si>
  <si>
    <r>
      <t>4.5 BP: Magic</t>
    </r>
    <r>
      <rPr>
        <sz val="11"/>
        <color rgb="FFFF0000"/>
        <rFont val="Calibri"/>
        <family val="2"/>
        <scheme val="minor"/>
      </rPr>
      <t xml:space="preserve"> Academy</t>
    </r>
  </si>
  <si>
    <t>School</t>
  </si>
  <si>
    <t xml:space="preserve">Three ladies </t>
  </si>
  <si>
    <t>actual</t>
  </si>
  <si>
    <t>Effective Consumption</t>
  </si>
  <si>
    <t>Exotic Armourer</t>
  </si>
  <si>
    <t>Road House (Cob of Corn)</t>
  </si>
  <si>
    <t>Roadhouse (The Cob of Corn)</t>
  </si>
  <si>
    <t>Tavern (The Small Corn)</t>
  </si>
  <si>
    <t>__ 1x Armed Keeler</t>
  </si>
  <si>
    <t xml:space="preserve">  _2x Keeler</t>
  </si>
  <si>
    <t>_ 1x Armed Keeler</t>
  </si>
  <si>
    <t>Large Warehouse</t>
  </si>
  <si>
    <t>Regional Market</t>
  </si>
  <si>
    <t xml:space="preserve">V&amp;A </t>
  </si>
  <si>
    <t>Holy House</t>
  </si>
  <si>
    <t>V&amp;A mechant store</t>
  </si>
  <si>
    <t>school</t>
  </si>
  <si>
    <t>V&amp;A Small Boatyard</t>
  </si>
  <si>
    <t>Small Boatyard</t>
  </si>
  <si>
    <t>Landard</t>
  </si>
  <si>
    <t>__ 2x Mule Train</t>
  </si>
  <si>
    <t>__ 1x Ox Train</t>
  </si>
  <si>
    <t xml:space="preserve"> - 2x Mule Train</t>
  </si>
  <si>
    <t>Mule Trains x2</t>
  </si>
  <si>
    <t>Road House (The Cob of Corn)</t>
  </si>
  <si>
    <t>HH &amp; Graveyard (Pharasma)</t>
  </si>
  <si>
    <t>External Interests</t>
  </si>
  <si>
    <t>External Interests:  Total</t>
  </si>
  <si>
    <t>Tusk (Downwind) Dyer</t>
  </si>
  <si>
    <t>Tusk (Downwind)  MW Weaver</t>
  </si>
  <si>
    <t>_ 2x Ox Train</t>
  </si>
  <si>
    <t>Benfits taken in Tusk</t>
  </si>
  <si>
    <t>Murano</t>
  </si>
  <si>
    <t>Pemar</t>
  </si>
  <si>
    <t>Glassmaker (exotic)</t>
  </si>
  <si>
    <t>Finden Farm</t>
  </si>
  <si>
    <t>Lebo Farm</t>
  </si>
  <si>
    <t>Newgate Hospital</t>
  </si>
  <si>
    <t xml:space="preserve">Carpenter (Craft workshop) </t>
  </si>
  <si>
    <t>Pharasma (Beatrix)</t>
  </si>
  <si>
    <t xml:space="preserve">Gt farm </t>
  </si>
  <si>
    <t>GT farm (Tib)</t>
  </si>
  <si>
    <t>Finigan Farm</t>
  </si>
  <si>
    <t>Redoubt  (Lt Delmo)</t>
  </si>
  <si>
    <t>Fort Farm</t>
  </si>
  <si>
    <t>House Income</t>
  </si>
  <si>
    <t xml:space="preserve"> Farm</t>
  </si>
  <si>
    <t>Comunity Craft Brewery (Country Wine)</t>
  </si>
  <si>
    <t>Town Size</t>
  </si>
  <si>
    <t>__ Keeler</t>
  </si>
  <si>
    <t>City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</si>
</sst>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1"/>
      <color rgb="FF3F3F76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B2B2B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indexed="64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/>
      <right style="thin">
        <color rgb="FFB2B2B2"/>
      </right>
      <top style="medium">
        <color indexed="64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/>
      <right style="thin">
        <color rgb="FFB2B2B2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3" applyNumberFormat="0" applyFont="0" applyAlignment="0" applyProtection="0"/>
    <xf numFmtId="0" fontId="7" fillId="9" borderId="1" applyNumberFormat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589">
    <xf numFmtId="0" fontId="0" fillId="0" borderId="0" xfId="0"/>
    <xf numFmtId="0" fontId="1" fillId="3" borderId="1" xfId="1" applyFill="1"/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0" fontId="0" fillId="5" borderId="0" xfId="0" applyFill="1"/>
    <xf numFmtId="0" fontId="2" fillId="5" borderId="0" xfId="0" applyFont="1" applyFill="1" applyAlignment="1">
      <alignment horizontal="center" vertical="center" wrapText="1"/>
    </xf>
    <xf numFmtId="0" fontId="0" fillId="0" borderId="2" xfId="0" applyBorder="1"/>
    <xf numFmtId="0" fontId="5" fillId="6" borderId="2" xfId="2" applyBorder="1"/>
    <xf numFmtId="0" fontId="1" fillId="2" borderId="1" xfId="1"/>
    <xf numFmtId="0" fontId="6" fillId="7" borderId="2" xfId="3" applyBorder="1"/>
    <xf numFmtId="0" fontId="0" fillId="8" borderId="3" xfId="4" applyFont="1"/>
    <xf numFmtId="164" fontId="1" fillId="2" borderId="1" xfId="1" applyNumberFormat="1"/>
    <xf numFmtId="0" fontId="0" fillId="0" borderId="0" xfId="0" applyAlignment="1">
      <alignment horizontal="center"/>
    </xf>
    <xf numFmtId="0" fontId="2" fillId="4" borderId="0" xfId="0" applyFont="1" applyFill="1"/>
    <xf numFmtId="0" fontId="2" fillId="5" borderId="0" xfId="0" applyFont="1" applyFill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8" borderId="9" xfId="4" applyFont="1" applyBorder="1"/>
    <xf numFmtId="0" fontId="0" fillId="8" borderId="10" xfId="4" applyFont="1" applyBorder="1"/>
    <xf numFmtId="0" fontId="0" fillId="8" borderId="11" xfId="4" applyFont="1" applyBorder="1"/>
    <xf numFmtId="0" fontId="0" fillId="8" borderId="12" xfId="4" applyFont="1" applyBorder="1" applyAlignment="1">
      <alignment horizontal="center"/>
    </xf>
    <xf numFmtId="0" fontId="0" fillId="8" borderId="13" xfId="4" applyFont="1" applyBorder="1" applyAlignment="1">
      <alignment horizontal="center"/>
    </xf>
    <xf numFmtId="0" fontId="0" fillId="8" borderId="14" xfId="4" applyFont="1" applyBorder="1" applyAlignment="1">
      <alignment horizontal="center"/>
    </xf>
    <xf numFmtId="0" fontId="0" fillId="0" borderId="15" xfId="0" applyBorder="1"/>
    <xf numFmtId="0" fontId="1" fillId="2" borderId="15" xfId="1" applyBorder="1"/>
    <xf numFmtId="0" fontId="7" fillId="9" borderId="1" xfId="5"/>
    <xf numFmtId="0" fontId="0" fillId="0" borderId="0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0" xfId="0" applyFont="1"/>
    <xf numFmtId="0" fontId="0" fillId="6" borderId="2" xfId="2" applyFont="1" applyBorder="1"/>
    <xf numFmtId="0" fontId="0" fillId="8" borderId="19" xfId="4" applyFont="1" applyBorder="1"/>
    <xf numFmtId="0" fontId="6" fillId="7" borderId="0" xfId="3"/>
    <xf numFmtId="0" fontId="0" fillId="0" borderId="17" xfId="0" applyFill="1" applyBorder="1"/>
    <xf numFmtId="0" fontId="9" fillId="13" borderId="0" xfId="7"/>
    <xf numFmtId="0" fontId="9" fillId="13" borderId="18" xfId="7" applyBorder="1"/>
    <xf numFmtId="0" fontId="9" fillId="13" borderId="6" xfId="7" applyBorder="1"/>
    <xf numFmtId="0" fontId="7" fillId="9" borderId="22" xfId="5" applyBorder="1"/>
    <xf numFmtId="0" fontId="0" fillId="8" borderId="23" xfId="4" applyFont="1" applyBorder="1"/>
    <xf numFmtId="0" fontId="7" fillId="9" borderId="1" xfId="5" applyBorder="1"/>
    <xf numFmtId="0" fontId="0" fillId="8" borderId="27" xfId="4" applyFont="1" applyBorder="1"/>
    <xf numFmtId="0" fontId="0" fillId="8" borderId="28" xfId="4" applyFont="1" applyBorder="1"/>
    <xf numFmtId="0" fontId="0" fillId="8" borderId="29" xfId="4" applyFont="1" applyBorder="1"/>
    <xf numFmtId="0" fontId="10" fillId="0" borderId="0" xfId="0" applyFont="1"/>
    <xf numFmtId="0" fontId="2" fillId="0" borderId="18" xfId="0" applyFont="1" applyBorder="1"/>
    <xf numFmtId="0" fontId="2" fillId="0" borderId="6" xfId="0" applyFont="1" applyBorder="1"/>
    <xf numFmtId="0" fontId="0" fillId="8" borderId="14" xfId="4" applyFont="1" applyBorder="1"/>
    <xf numFmtId="0" fontId="0" fillId="8" borderId="3" xfId="4" applyFont="1" applyBorder="1"/>
    <xf numFmtId="0" fontId="2" fillId="8" borderId="9" xfId="4" applyFont="1" applyBorder="1"/>
    <xf numFmtId="0" fontId="13" fillId="0" borderId="0" xfId="0" applyFont="1" applyBorder="1"/>
    <xf numFmtId="0" fontId="0" fillId="0" borderId="0" xfId="0" applyAlignment="1">
      <alignment horizontal="center"/>
    </xf>
    <xf numFmtId="0" fontId="0" fillId="8" borderId="43" xfId="4" applyFont="1" applyBorder="1" applyAlignment="1">
      <alignment horizontal="center"/>
    </xf>
    <xf numFmtId="0" fontId="0" fillId="8" borderId="11" xfId="4" applyFont="1" applyBorder="1" applyAlignment="1">
      <alignment horizontal="left" vertical="center" indent="5"/>
    </xf>
    <xf numFmtId="0" fontId="13" fillId="0" borderId="0" xfId="0" applyFont="1" applyFill="1" applyBorder="1"/>
    <xf numFmtId="0" fontId="13" fillId="0" borderId="0" xfId="0" applyFont="1"/>
    <xf numFmtId="0" fontId="13" fillId="0" borderId="17" xfId="0" applyFont="1" applyBorder="1"/>
    <xf numFmtId="0" fontId="13" fillId="0" borderId="8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4" xfId="0" applyFont="1" applyBorder="1"/>
    <xf numFmtId="0" fontId="13" fillId="0" borderId="5" xfId="0" applyFont="1" applyBorder="1"/>
    <xf numFmtId="0" fontId="16" fillId="8" borderId="11" xfId="4" applyFont="1" applyBorder="1" applyAlignment="1">
      <alignment vertical="center"/>
    </xf>
    <xf numFmtId="0" fontId="16" fillId="8" borderId="11" xfId="4" applyFont="1" applyBorder="1"/>
    <xf numFmtId="0" fontId="13" fillId="8" borderId="37" xfId="4" applyFont="1" applyBorder="1"/>
    <xf numFmtId="0" fontId="13" fillId="8" borderId="3" xfId="4" applyFont="1" applyBorder="1"/>
    <xf numFmtId="0" fontId="13" fillId="8" borderId="3" xfId="4" applyFont="1"/>
    <xf numFmtId="0" fontId="13" fillId="8" borderId="36" xfId="4" applyFont="1" applyBorder="1"/>
    <xf numFmtId="0" fontId="13" fillId="8" borderId="19" xfId="4" applyFont="1" applyBorder="1"/>
    <xf numFmtId="0" fontId="0" fillId="0" borderId="30" xfId="0" applyBorder="1"/>
    <xf numFmtId="0" fontId="0" fillId="0" borderId="39" xfId="0" applyBorder="1"/>
    <xf numFmtId="0" fontId="12" fillId="14" borderId="30" xfId="0" applyFont="1" applyFill="1" applyBorder="1"/>
    <xf numFmtId="0" fontId="0" fillId="14" borderId="4" xfId="0" applyFill="1" applyBorder="1"/>
    <xf numFmtId="0" fontId="13" fillId="16" borderId="38" xfId="0" applyFont="1" applyFill="1" applyBorder="1"/>
    <xf numFmtId="0" fontId="13" fillId="16" borderId="31" xfId="0" applyFont="1" applyFill="1" applyBorder="1"/>
    <xf numFmtId="0" fontId="13" fillId="0" borderId="39" xfId="0" applyFont="1" applyBorder="1"/>
    <xf numFmtId="0" fontId="15" fillId="14" borderId="30" xfId="0" applyFont="1" applyFill="1" applyBorder="1"/>
    <xf numFmtId="0" fontId="15" fillId="16" borderId="31" xfId="0" applyFont="1" applyFill="1" applyBorder="1"/>
    <xf numFmtId="0" fontId="2" fillId="14" borderId="31" xfId="0" applyFont="1" applyFill="1" applyBorder="1"/>
    <xf numFmtId="0" fontId="0" fillId="8" borderId="34" xfId="4" applyFont="1" applyBorder="1"/>
    <xf numFmtId="0" fontId="13" fillId="0" borderId="18" xfId="0" applyFont="1" applyBorder="1"/>
    <xf numFmtId="0" fontId="13" fillId="14" borderId="0" xfId="0" applyFont="1" applyFill="1" applyBorder="1"/>
    <xf numFmtId="0" fontId="0" fillId="10" borderId="17" xfId="0" applyFill="1" applyBorder="1"/>
    <xf numFmtId="0" fontId="0" fillId="10" borderId="0" xfId="0" applyFill="1" applyBorder="1"/>
    <xf numFmtId="0" fontId="11" fillId="8" borderId="13" xfId="4" applyFont="1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10" borderId="8" xfId="0" applyFill="1" applyBorder="1"/>
    <xf numFmtId="0" fontId="0" fillId="8" borderId="51" xfId="4" applyFont="1" applyBorder="1" applyAlignment="1">
      <alignment horizontal="center"/>
    </xf>
    <xf numFmtId="0" fontId="0" fillId="8" borderId="52" xfId="4" applyFont="1" applyBorder="1" applyAlignment="1">
      <alignment horizontal="center"/>
    </xf>
    <xf numFmtId="0" fontId="13" fillId="0" borderId="17" xfId="0" applyFont="1" applyFill="1" applyBorder="1"/>
    <xf numFmtId="0" fontId="13" fillId="0" borderId="16" xfId="0" applyFont="1" applyBorder="1"/>
    <xf numFmtId="0" fontId="0" fillId="8" borderId="53" xfId="4" applyFont="1" applyBorder="1"/>
    <xf numFmtId="0" fontId="0" fillId="8" borderId="11" xfId="4" applyFont="1" applyBorder="1" applyAlignment="1">
      <alignment vertical="center"/>
    </xf>
    <xf numFmtId="0" fontId="0" fillId="8" borderId="11" xfId="4" applyFont="1" applyBorder="1" applyAlignment="1"/>
    <xf numFmtId="0" fontId="0" fillId="8" borderId="10" xfId="4" applyFont="1" applyBorder="1" applyAlignment="1"/>
    <xf numFmtId="0" fontId="0" fillId="14" borderId="0" xfId="0" applyFill="1" applyBorder="1"/>
    <xf numFmtId="0" fontId="0" fillId="14" borderId="0" xfId="0" applyFill="1"/>
    <xf numFmtId="0" fontId="0" fillId="14" borderId="6" xfId="0" applyFill="1" applyBorder="1"/>
    <xf numFmtId="0" fontId="9" fillId="14" borderId="6" xfId="7" applyFill="1" applyBorder="1"/>
    <xf numFmtId="0" fontId="2" fillId="14" borderId="0" xfId="0" applyFont="1" applyFill="1" applyAlignment="1">
      <alignment horizontal="center" vertical="center" wrapText="1"/>
    </xf>
    <xf numFmtId="0" fontId="13" fillId="14" borderId="4" xfId="0" applyFont="1" applyFill="1" applyBorder="1"/>
    <xf numFmtId="0" fontId="13" fillId="14" borderId="6" xfId="0" applyFont="1" applyFill="1" applyBorder="1"/>
    <xf numFmtId="0" fontId="1" fillId="3" borderId="22" xfId="1" applyFill="1" applyBorder="1"/>
    <xf numFmtId="0" fontId="7" fillId="9" borderId="54" xfId="5" applyBorder="1"/>
    <xf numFmtId="0" fontId="7" fillId="9" borderId="55" xfId="5" applyBorder="1"/>
    <xf numFmtId="0" fontId="7" fillId="9" borderId="56" xfId="5" applyBorder="1"/>
    <xf numFmtId="0" fontId="0" fillId="8" borderId="61" xfId="4" applyFont="1" applyBorder="1" applyAlignment="1">
      <alignment horizontal="center"/>
    </xf>
    <xf numFmtId="0" fontId="0" fillId="0" borderId="63" xfId="0" applyBorder="1"/>
    <xf numFmtId="0" fontId="7" fillId="9" borderId="58" xfId="5" applyBorder="1" applyAlignment="1">
      <alignment horizontal="center"/>
    </xf>
    <xf numFmtId="0" fontId="7" fillId="9" borderId="33" xfId="5" applyBorder="1" applyAlignment="1">
      <alignment horizontal="center"/>
    </xf>
    <xf numFmtId="0" fontId="7" fillId="9" borderId="62" xfId="5" applyBorder="1" applyAlignment="1">
      <alignment horizontal="center"/>
    </xf>
    <xf numFmtId="0" fontId="7" fillId="9" borderId="59" xfId="5" applyBorder="1" applyAlignment="1">
      <alignment horizontal="center"/>
    </xf>
    <xf numFmtId="0" fontId="0" fillId="0" borderId="20" xfId="0" applyBorder="1" applyAlignment="1">
      <alignment horizontal="center"/>
    </xf>
    <xf numFmtId="0" fontId="7" fillId="9" borderId="60" xfId="5" applyBorder="1" applyAlignment="1">
      <alignment horizontal="center"/>
    </xf>
    <xf numFmtId="0" fontId="0" fillId="0" borderId="17" xfId="0" applyBorder="1" applyAlignment="1">
      <alignment horizontal="center"/>
    </xf>
    <xf numFmtId="0" fontId="7" fillId="9" borderId="55" xfId="5" applyBorder="1" applyAlignment="1">
      <alignment horizontal="center"/>
    </xf>
    <xf numFmtId="0" fontId="0" fillId="8" borderId="46" xfId="4" applyFont="1" applyBorder="1" applyAlignment="1">
      <alignment horizontal="center"/>
    </xf>
    <xf numFmtId="0" fontId="0" fillId="5" borderId="63" xfId="0" applyFill="1" applyBorder="1"/>
    <xf numFmtId="0" fontId="7" fillId="9" borderId="64" xfId="5" applyBorder="1" applyAlignment="1">
      <alignment horizontal="center"/>
    </xf>
    <xf numFmtId="0" fontId="7" fillId="9" borderId="65" xfId="5" applyBorder="1" applyAlignment="1">
      <alignment horizontal="center"/>
    </xf>
    <xf numFmtId="0" fontId="7" fillId="9" borderId="66" xfId="5" applyBorder="1" applyAlignment="1">
      <alignment horizontal="center"/>
    </xf>
    <xf numFmtId="0" fontId="7" fillId="9" borderId="56" xfId="5" applyBorder="1" applyAlignment="1">
      <alignment horizontal="center"/>
    </xf>
    <xf numFmtId="0" fontId="7" fillId="9" borderId="57" xfId="5" applyBorder="1" applyAlignment="1">
      <alignment horizontal="center"/>
    </xf>
    <xf numFmtId="0" fontId="7" fillId="10" borderId="58" xfId="5" applyFill="1" applyBorder="1"/>
    <xf numFmtId="0" fontId="7" fillId="10" borderId="67" xfId="5" applyFill="1" applyBorder="1" applyAlignment="1">
      <alignment horizontal="center"/>
    </xf>
    <xf numFmtId="0" fontId="7" fillId="10" borderId="59" xfId="5" applyFill="1" applyBorder="1"/>
    <xf numFmtId="0" fontId="7" fillId="10" borderId="68" xfId="5" applyFill="1" applyBorder="1" applyAlignment="1">
      <alignment horizontal="center"/>
    </xf>
    <xf numFmtId="0" fontId="0" fillId="10" borderId="5" xfId="0" applyFill="1" applyBorder="1"/>
    <xf numFmtId="0" fontId="2" fillId="10" borderId="16" xfId="0" applyFont="1" applyFill="1" applyBorder="1"/>
    <xf numFmtId="0" fontId="13" fillId="0" borderId="63" xfId="0" applyFont="1" applyBorder="1"/>
    <xf numFmtId="0" fontId="13" fillId="8" borderId="14" xfId="4" applyFont="1" applyBorder="1"/>
    <xf numFmtId="0" fontId="13" fillId="0" borderId="16" xfId="0" applyFont="1" applyFill="1" applyBorder="1"/>
    <xf numFmtId="0" fontId="21" fillId="9" borderId="55" xfId="5" applyFont="1" applyBorder="1" applyAlignment="1">
      <alignment horizontal="center"/>
    </xf>
    <xf numFmtId="0" fontId="1" fillId="2" borderId="8" xfId="1" applyBorder="1"/>
    <xf numFmtId="0" fontId="7" fillId="9" borderId="69" xfId="5" applyBorder="1"/>
    <xf numFmtId="164" fontId="0" fillId="11" borderId="15" xfId="0" applyNumberFormat="1" applyFill="1" applyBorder="1"/>
    <xf numFmtId="0" fontId="2" fillId="11" borderId="15" xfId="0" applyFont="1" applyFill="1" applyBorder="1" applyAlignment="1">
      <alignment horizontal="right"/>
    </xf>
    <xf numFmtId="0" fontId="10" fillId="0" borderId="6" xfId="0" applyFont="1" applyBorder="1"/>
    <xf numFmtId="0" fontId="0" fillId="18" borderId="0" xfId="0" applyFill="1"/>
    <xf numFmtId="0" fontId="13" fillId="0" borderId="4" xfId="0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0" fillId="0" borderId="20" xfId="0" applyBorder="1"/>
    <xf numFmtId="0" fontId="0" fillId="8" borderId="63" xfId="4" applyFont="1" applyBorder="1"/>
    <xf numFmtId="0" fontId="0" fillId="14" borderId="63" xfId="0" applyFill="1" applyBorder="1"/>
    <xf numFmtId="0" fontId="1" fillId="2" borderId="21" xfId="1" applyBorder="1"/>
    <xf numFmtId="0" fontId="0" fillId="10" borderId="20" xfId="0" applyFill="1" applyBorder="1"/>
    <xf numFmtId="0" fontId="0" fillId="10" borderId="63" xfId="0" applyFill="1" applyBorder="1"/>
    <xf numFmtId="0" fontId="0" fillId="10" borderId="21" xfId="0" applyFill="1" applyBorder="1"/>
    <xf numFmtId="0" fontId="0" fillId="10" borderId="6" xfId="0" applyFill="1" applyBorder="1"/>
    <xf numFmtId="0" fontId="0" fillId="10" borderId="7" xfId="0" applyFill="1" applyBorder="1"/>
    <xf numFmtId="0" fontId="7" fillId="9" borderId="72" xfId="5" applyBorder="1"/>
    <xf numFmtId="0" fontId="2" fillId="5" borderId="63" xfId="0" applyFont="1" applyFill="1" applyBorder="1"/>
    <xf numFmtId="0" fontId="7" fillId="9" borderId="73" xfId="5" applyBorder="1"/>
    <xf numFmtId="0" fontId="7" fillId="9" borderId="64" xfId="5" applyBorder="1"/>
    <xf numFmtId="0" fontId="0" fillId="15" borderId="15" xfId="0" applyFill="1" applyBorder="1"/>
    <xf numFmtId="0" fontId="0" fillId="15" borderId="74" xfId="0" applyFill="1" applyBorder="1"/>
    <xf numFmtId="0" fontId="7" fillId="9" borderId="15" xfId="5" applyBorder="1"/>
    <xf numFmtId="0" fontId="0" fillId="0" borderId="75" xfId="0" applyBorder="1"/>
    <xf numFmtId="0" fontId="5" fillId="6" borderId="75" xfId="2" applyBorder="1"/>
    <xf numFmtId="0" fontId="5" fillId="6" borderId="76" xfId="2" applyBorder="1"/>
    <xf numFmtId="0" fontId="0" fillId="15" borderId="0" xfId="0" applyFill="1"/>
    <xf numFmtId="0" fontId="1" fillId="2" borderId="77" xfId="1" applyBorder="1"/>
    <xf numFmtId="0" fontId="10" fillId="0" borderId="15" xfId="0" applyFont="1" applyBorder="1"/>
    <xf numFmtId="0" fontId="5" fillId="6" borderId="15" xfId="2" applyBorder="1"/>
    <xf numFmtId="0" fontId="2" fillId="15" borderId="0" xfId="0" applyFont="1" applyFill="1"/>
    <xf numFmtId="0" fontId="0" fillId="8" borderId="78" xfId="4" applyFont="1" applyBorder="1"/>
    <xf numFmtId="0" fontId="0" fillId="8" borderId="79" xfId="4" applyFont="1" applyBorder="1"/>
    <xf numFmtId="0" fontId="0" fillId="8" borderId="80" xfId="4" applyFont="1" applyBorder="1"/>
    <xf numFmtId="0" fontId="1" fillId="2" borderId="71" xfId="1" applyBorder="1"/>
    <xf numFmtId="0" fontId="0" fillId="8" borderId="81" xfId="4" applyFont="1" applyBorder="1"/>
    <xf numFmtId="0" fontId="0" fillId="8" borderId="82" xfId="4" applyFont="1" applyBorder="1"/>
    <xf numFmtId="0" fontId="0" fillId="8" borderId="83" xfId="4" applyFont="1" applyBorder="1"/>
    <xf numFmtId="0" fontId="8" fillId="12" borderId="84" xfId="6" applyBorder="1"/>
    <xf numFmtId="0" fontId="8" fillId="12" borderId="85" xfId="6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2" fontId="0" fillId="0" borderId="16" xfId="0" applyNumberFormat="1" applyBorder="1"/>
    <xf numFmtId="0" fontId="8" fillId="12" borderId="86" xfId="6" applyBorder="1"/>
    <xf numFmtId="0" fontId="8" fillId="12" borderId="87" xfId="6" applyBorder="1" applyAlignment="1">
      <alignment horizontal="center"/>
    </xf>
    <xf numFmtId="2" fontId="0" fillId="0" borderId="17" xfId="0" applyNumberFormat="1" applyBorder="1"/>
    <xf numFmtId="0" fontId="12" fillId="14" borderId="38" xfId="0" applyFont="1" applyFill="1" applyBorder="1"/>
    <xf numFmtId="0" fontId="0" fillId="14" borderId="20" xfId="0" applyFill="1" applyBorder="1" applyAlignment="1">
      <alignment horizontal="center"/>
    </xf>
    <xf numFmtId="0" fontId="0" fillId="15" borderId="20" xfId="0" applyFill="1" applyBorder="1"/>
    <xf numFmtId="0" fontId="2" fillId="5" borderId="63" xfId="0" applyFont="1" applyFill="1" applyBorder="1" applyAlignment="1">
      <alignment horizontal="center"/>
    </xf>
    <xf numFmtId="0" fontId="2" fillId="5" borderId="63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0" fillId="14" borderId="38" xfId="0" applyFill="1" applyBorder="1"/>
    <xf numFmtId="0" fontId="7" fillId="9" borderId="88" xfId="5" applyBorder="1" applyAlignment="1">
      <alignment horizontal="center"/>
    </xf>
    <xf numFmtId="0" fontId="7" fillId="9" borderId="60" xfId="5" applyBorder="1"/>
    <xf numFmtId="0" fontId="7" fillId="9" borderId="77" xfId="5" applyBorder="1"/>
    <xf numFmtId="0" fontId="7" fillId="9" borderId="88" xfId="5" applyBorder="1"/>
    <xf numFmtId="0" fontId="7" fillId="9" borderId="89" xfId="5" applyBorder="1"/>
    <xf numFmtId="0" fontId="0" fillId="14" borderId="39" xfId="0" applyFill="1" applyBorder="1"/>
    <xf numFmtId="0" fontId="7" fillId="9" borderId="22" xfId="5" applyBorder="1" applyAlignment="1">
      <alignment horizontal="center"/>
    </xf>
    <xf numFmtId="0" fontId="7" fillId="9" borderId="33" xfId="5" applyBorder="1"/>
    <xf numFmtId="0" fontId="7" fillId="9" borderId="65" xfId="5" applyBorder="1"/>
    <xf numFmtId="0" fontId="1" fillId="2" borderId="90" xfId="1" applyBorder="1"/>
    <xf numFmtId="0" fontId="0" fillId="14" borderId="30" xfId="0" applyFill="1" applyBorder="1"/>
    <xf numFmtId="0" fontId="7" fillId="9" borderId="58" xfId="5" applyBorder="1"/>
    <xf numFmtId="0" fontId="0" fillId="0" borderId="39" xfId="0" applyBorder="1" applyAlignment="1">
      <alignment horizontal="center"/>
    </xf>
    <xf numFmtId="0" fontId="7" fillId="9" borderId="91" xfId="5" applyBorder="1" applyAlignment="1">
      <alignment horizontal="center"/>
    </xf>
    <xf numFmtId="0" fontId="7" fillId="9" borderId="92" xfId="5" applyBorder="1"/>
    <xf numFmtId="0" fontId="7" fillId="9" borderId="93" xfId="5" applyBorder="1"/>
    <xf numFmtId="0" fontId="7" fillId="9" borderId="94" xfId="5" applyBorder="1"/>
    <xf numFmtId="0" fontId="7" fillId="9" borderId="91" xfId="5" applyBorder="1"/>
    <xf numFmtId="0" fontId="0" fillId="14" borderId="49" xfId="0" applyFill="1" applyBorder="1"/>
    <xf numFmtId="0" fontId="7" fillId="9" borderId="95" xfId="5" applyBorder="1"/>
    <xf numFmtId="0" fontId="0" fillId="14" borderId="39" xfId="0" applyFill="1" applyBorder="1" applyAlignment="1">
      <alignment horizontal="center"/>
    </xf>
    <xf numFmtId="0" fontId="1" fillId="2" borderId="89" xfId="1" applyBorder="1"/>
    <xf numFmtId="0" fontId="0" fillId="0" borderId="23" xfId="4" applyFont="1" applyFill="1" applyBorder="1"/>
    <xf numFmtId="0" fontId="0" fillId="0" borderId="46" xfId="4" applyFont="1" applyFill="1" applyBorder="1"/>
    <xf numFmtId="0" fontId="0" fillId="0" borderId="25" xfId="4" applyFont="1" applyFill="1" applyBorder="1"/>
    <xf numFmtId="0" fontId="1" fillId="2" borderId="96" xfId="1" applyBorder="1"/>
    <xf numFmtId="0" fontId="1" fillId="2" borderId="65" xfId="1" applyBorder="1"/>
    <xf numFmtId="0" fontId="1" fillId="2" borderId="97" xfId="1" applyBorder="1"/>
    <xf numFmtId="0" fontId="5" fillId="6" borderId="6" xfId="2" applyBorder="1"/>
    <xf numFmtId="0" fontId="5" fillId="6" borderId="7" xfId="2" applyBorder="1"/>
    <xf numFmtId="0" fontId="22" fillId="0" borderId="16" xfId="0" applyFont="1" applyBorder="1"/>
    <xf numFmtId="0" fontId="22" fillId="0" borderId="17" xfId="0" applyFont="1" applyBorder="1"/>
    <xf numFmtId="0" fontId="13" fillId="0" borderId="11" xfId="4" applyFont="1" applyFill="1" applyBorder="1"/>
    <xf numFmtId="0" fontId="13" fillId="0" borderId="3" xfId="4" applyFont="1" applyFill="1"/>
    <xf numFmtId="0" fontId="1" fillId="15" borderId="15" xfId="1" applyFill="1" applyBorder="1"/>
    <xf numFmtId="0" fontId="0" fillId="14" borderId="31" xfId="0" applyFill="1" applyBorder="1" applyAlignment="1">
      <alignment horizontal="center"/>
    </xf>
    <xf numFmtId="0" fontId="0" fillId="14" borderId="31" xfId="0" applyFill="1" applyBorder="1"/>
    <xf numFmtId="0" fontId="7" fillId="9" borderId="98" xfId="5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5" fillId="6" borderId="99" xfId="2" applyBorder="1"/>
    <xf numFmtId="0" fontId="0" fillId="15" borderId="63" xfId="0" applyFill="1" applyBorder="1"/>
    <xf numFmtId="0" fontId="0" fillId="14" borderId="30" xfId="0" applyFill="1" applyBorder="1" applyAlignment="1">
      <alignment horizontal="center"/>
    </xf>
    <xf numFmtId="0" fontId="1" fillId="2" borderId="66" xfId="1" applyBorder="1"/>
    <xf numFmtId="0" fontId="1" fillId="2" borderId="64" xfId="1" applyBorder="1"/>
    <xf numFmtId="0" fontId="1" fillId="2" borderId="100" xfId="1" applyBorder="1"/>
    <xf numFmtId="0" fontId="7" fillId="9" borderId="62" xfId="5" applyBorder="1"/>
    <xf numFmtId="0" fontId="7" fillId="9" borderId="44" xfId="5" applyBorder="1"/>
    <xf numFmtId="0" fontId="13" fillId="0" borderId="28" xfId="4" applyFont="1" applyFill="1" applyBorder="1"/>
    <xf numFmtId="0" fontId="10" fillId="0" borderId="39" xfId="0" applyFont="1" applyBorder="1"/>
    <xf numFmtId="0" fontId="7" fillId="9" borderId="101" xfId="5" applyBorder="1" applyAlignment="1">
      <alignment horizontal="center"/>
    </xf>
    <xf numFmtId="0" fontId="13" fillId="0" borderId="37" xfId="4" applyFont="1" applyFill="1" applyBorder="1"/>
    <xf numFmtId="0" fontId="0" fillId="0" borderId="0" xfId="0"/>
    <xf numFmtId="0" fontId="9" fillId="13" borderId="0" xfId="7"/>
    <xf numFmtId="0" fontId="0" fillId="8" borderId="3" xfId="4" applyFont="1"/>
    <xf numFmtId="0" fontId="1" fillId="2" borderId="1" xfId="1"/>
    <xf numFmtId="0" fontId="6" fillId="7" borderId="0" xfId="3"/>
    <xf numFmtId="0" fontId="0" fillId="4" borderId="0" xfId="0" applyFill="1"/>
    <xf numFmtId="0" fontId="0" fillId="5" borderId="0" xfId="0" applyFill="1"/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2" fillId="14" borderId="30" xfId="0" applyFont="1" applyFill="1" applyBorder="1"/>
    <xf numFmtId="0" fontId="0" fillId="15" borderId="4" xfId="0" applyFill="1" applyBorder="1"/>
    <xf numFmtId="0" fontId="13" fillId="16" borderId="38" xfId="0" applyFont="1" applyFill="1" applyBorder="1"/>
    <xf numFmtId="0" fontId="0" fillId="0" borderId="0" xfId="0" applyBorder="1"/>
    <xf numFmtId="0" fontId="0" fillId="0" borderId="8" xfId="0" applyBorder="1"/>
    <xf numFmtId="0" fontId="0" fillId="0" borderId="39" xfId="0" applyBorder="1"/>
    <xf numFmtId="0" fontId="10" fillId="0" borderId="0" xfId="0" applyFont="1"/>
    <xf numFmtId="0" fontId="18" fillId="0" borderId="0" xfId="0" applyFont="1"/>
    <xf numFmtId="0" fontId="0" fillId="0" borderId="2" xfId="0" applyBorder="1"/>
    <xf numFmtId="0" fontId="13" fillId="0" borderId="0" xfId="0" applyFont="1" applyBorder="1"/>
    <xf numFmtId="0" fontId="0" fillId="0" borderId="31" xfId="0" applyBorder="1"/>
    <xf numFmtId="0" fontId="0" fillId="0" borderId="6" xfId="0" applyBorder="1"/>
    <xf numFmtId="0" fontId="0" fillId="0" borderId="7" xfId="0" applyBorder="1"/>
    <xf numFmtId="0" fontId="5" fillId="6" borderId="2" xfId="2" applyBorder="1"/>
    <xf numFmtId="0" fontId="13" fillId="16" borderId="31" xfId="0" applyFont="1" applyFill="1" applyBorder="1"/>
    <xf numFmtId="0" fontId="13" fillId="0" borderId="39" xfId="0" applyFont="1" applyBorder="1"/>
    <xf numFmtId="0" fontId="13" fillId="0" borderId="0" xfId="0" applyFont="1"/>
    <xf numFmtId="0" fontId="6" fillId="7" borderId="2" xfId="3" applyBorder="1"/>
    <xf numFmtId="0" fontId="13" fillId="0" borderId="31" xfId="0" applyFont="1" applyBorder="1"/>
    <xf numFmtId="0" fontId="13" fillId="0" borderId="6" xfId="0" applyFont="1" applyBorder="1"/>
    <xf numFmtId="0" fontId="15" fillId="14" borderId="30" xfId="0" applyFont="1" applyFill="1" applyBorder="1"/>
    <xf numFmtId="0" fontId="13" fillId="0" borderId="4" xfId="0" applyFont="1" applyBorder="1"/>
    <xf numFmtId="0" fontId="0" fillId="0" borderId="5" xfId="0" applyBorder="1"/>
    <xf numFmtId="0" fontId="15" fillId="16" borderId="31" xfId="0" applyFont="1" applyFill="1" applyBorder="1"/>
    <xf numFmtId="0" fontId="0" fillId="0" borderId="4" xfId="0" applyBorder="1"/>
    <xf numFmtId="0" fontId="2" fillId="14" borderId="31" xfId="0" applyFont="1" applyFill="1" applyBorder="1"/>
    <xf numFmtId="0" fontId="15" fillId="8" borderId="27" xfId="4" applyFont="1" applyBorder="1"/>
    <xf numFmtId="0" fontId="7" fillId="9" borderId="72" xfId="5" applyBorder="1" applyAlignment="1">
      <alignment horizontal="center"/>
    </xf>
    <xf numFmtId="0" fontId="7" fillId="9" borderId="102" xfId="5" applyBorder="1" applyAlignment="1">
      <alignment horizontal="center"/>
    </xf>
    <xf numFmtId="0" fontId="7" fillId="9" borderId="59" xfId="5" applyBorder="1"/>
    <xf numFmtId="0" fontId="7" fillId="9" borderId="103" xfId="5" applyBorder="1"/>
    <xf numFmtId="0" fontId="7" fillId="9" borderId="102" xfId="5" applyBorder="1"/>
    <xf numFmtId="0" fontId="7" fillId="9" borderId="66" xfId="5" applyBorder="1"/>
    <xf numFmtId="0" fontId="20" fillId="9" borderId="33" xfId="5" applyFont="1" applyBorder="1"/>
    <xf numFmtId="0" fontId="5" fillId="8" borderId="27" xfId="4" applyFont="1" applyBorder="1"/>
    <xf numFmtId="0" fontId="5" fillId="8" borderId="37" xfId="4" applyFont="1" applyBorder="1"/>
    <xf numFmtId="0" fontId="5" fillId="8" borderId="3" xfId="4" applyFont="1"/>
    <xf numFmtId="0" fontId="5" fillId="8" borderId="28" xfId="4" applyFont="1" applyBorder="1"/>
    <xf numFmtId="0" fontId="1" fillId="2" borderId="47" xfId="1" applyBorder="1"/>
    <xf numFmtId="0" fontId="1" fillId="2" borderId="42" xfId="1" applyBorder="1"/>
    <xf numFmtId="0" fontId="0" fillId="10" borderId="16" xfId="0" applyFill="1" applyBorder="1" applyAlignment="1">
      <alignment horizontal="center"/>
    </xf>
    <xf numFmtId="0" fontId="0" fillId="15" borderId="16" xfId="0" applyFill="1" applyBorder="1"/>
    <xf numFmtId="0" fontId="2" fillId="5" borderId="4" xfId="0" applyFont="1" applyFill="1" applyBorder="1" applyAlignment="1">
      <alignment horizontal="center"/>
    </xf>
    <xf numFmtId="0" fontId="0" fillId="14" borderId="17" xfId="0" applyFill="1" applyBorder="1"/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4" borderId="18" xfId="0" applyFill="1" applyBorder="1"/>
    <xf numFmtId="0" fontId="0" fillId="10" borderId="18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9" fillId="13" borderId="70" xfId="7" applyBorder="1"/>
    <xf numFmtId="0" fontId="0" fillId="0" borderId="31" xfId="0" applyBorder="1" applyAlignment="1">
      <alignment horizontal="center"/>
    </xf>
    <xf numFmtId="0" fontId="10" fillId="0" borderId="31" xfId="0" applyFont="1" applyBorder="1"/>
    <xf numFmtId="0" fontId="10" fillId="0" borderId="18" xfId="0" applyFont="1" applyBorder="1"/>
    <xf numFmtId="0" fontId="7" fillId="9" borderId="100" xfId="5" applyBorder="1"/>
    <xf numFmtId="0" fontId="0" fillId="8" borderId="37" xfId="4" applyFont="1" applyBorder="1"/>
    <xf numFmtId="0" fontId="7" fillId="9" borderId="104" xfId="5" applyBorder="1"/>
    <xf numFmtId="0" fontId="1" fillId="2" borderId="40" xfId="1" applyBorder="1"/>
    <xf numFmtId="0" fontId="13" fillId="8" borderId="105" xfId="4" applyFont="1" applyBorder="1"/>
    <xf numFmtId="0" fontId="13" fillId="8" borderId="106" xfId="4" applyFont="1" applyBorder="1"/>
    <xf numFmtId="0" fontId="13" fillId="8" borderId="107" xfId="4" applyFont="1" applyBorder="1"/>
    <xf numFmtId="0" fontId="13" fillId="8" borderId="108" xfId="4" applyFont="1" applyBorder="1"/>
    <xf numFmtId="0" fontId="13" fillId="8" borderId="109" xfId="4" applyFont="1" applyBorder="1"/>
    <xf numFmtId="0" fontId="13" fillId="8" borderId="110" xfId="4" applyFont="1" applyBorder="1"/>
    <xf numFmtId="0" fontId="13" fillId="8" borderId="111" xfId="4" applyFont="1" applyBorder="1"/>
    <xf numFmtId="0" fontId="13" fillId="8" borderId="112" xfId="4" applyFont="1" applyBorder="1"/>
    <xf numFmtId="0" fontId="0" fillId="8" borderId="114" xfId="4" applyFont="1" applyBorder="1"/>
    <xf numFmtId="0" fontId="0" fillId="8" borderId="106" xfId="4" applyFont="1" applyBorder="1"/>
    <xf numFmtId="0" fontId="0" fillId="8" borderId="107" xfId="4" applyFont="1" applyBorder="1"/>
    <xf numFmtId="0" fontId="13" fillId="8" borderId="115" xfId="4" applyFont="1" applyBorder="1"/>
    <xf numFmtId="0" fontId="0" fillId="8" borderId="109" xfId="4" applyFont="1" applyBorder="1"/>
    <xf numFmtId="0" fontId="13" fillId="8" borderId="116" xfId="4" applyFont="1" applyBorder="1"/>
    <xf numFmtId="0" fontId="13" fillId="8" borderId="117" xfId="4" applyFont="1" applyBorder="1"/>
    <xf numFmtId="0" fontId="0" fillId="8" borderId="112" xfId="4" applyFont="1" applyBorder="1"/>
    <xf numFmtId="0" fontId="1" fillId="2" borderId="45" xfId="1" applyBorder="1"/>
    <xf numFmtId="0" fontId="0" fillId="8" borderId="111" xfId="4" applyFont="1" applyBorder="1"/>
    <xf numFmtId="0" fontId="13" fillId="8" borderId="114" xfId="4" applyFont="1" applyBorder="1"/>
    <xf numFmtId="0" fontId="1" fillId="2" borderId="30" xfId="1" applyBorder="1"/>
    <xf numFmtId="0" fontId="0" fillId="8" borderId="122" xfId="4" applyFont="1" applyBorder="1"/>
    <xf numFmtId="0" fontId="0" fillId="8" borderId="123" xfId="4" applyFont="1" applyBorder="1"/>
    <xf numFmtId="0" fontId="1" fillId="2" borderId="121" xfId="1" applyBorder="1"/>
    <xf numFmtId="0" fontId="0" fillId="14" borderId="121" xfId="0" applyFill="1" applyBorder="1"/>
    <xf numFmtId="0" fontId="0" fillId="8" borderId="124" xfId="4" applyFont="1" applyBorder="1"/>
    <xf numFmtId="0" fontId="0" fillId="0" borderId="48" xfId="4" applyFont="1" applyFill="1" applyBorder="1"/>
    <xf numFmtId="0" fontId="0" fillId="0" borderId="34" xfId="4" applyFont="1" applyFill="1" applyBorder="1"/>
    <xf numFmtId="0" fontId="0" fillId="8" borderId="125" xfId="4" applyFont="1" applyBorder="1"/>
    <xf numFmtId="0" fontId="0" fillId="8" borderId="24" xfId="4" applyFont="1" applyBorder="1"/>
    <xf numFmtId="0" fontId="0" fillId="8" borderId="126" xfId="4" applyFont="1" applyBorder="1"/>
    <xf numFmtId="0" fontId="15" fillId="8" borderId="113" xfId="4" applyFont="1" applyBorder="1"/>
    <xf numFmtId="0" fontId="15" fillId="8" borderId="115" xfId="4" applyFont="1" applyBorder="1"/>
    <xf numFmtId="0" fontId="2" fillId="8" borderId="113" xfId="4" applyFont="1" applyBorder="1"/>
    <xf numFmtId="0" fontId="0" fillId="10" borderId="127" xfId="0" applyFill="1" applyBorder="1"/>
    <xf numFmtId="0" fontId="0" fillId="14" borderId="16" xfId="0" applyFill="1" applyBorder="1"/>
    <xf numFmtId="0" fontId="0" fillId="14" borderId="128" xfId="0" applyFill="1" applyBorder="1"/>
    <xf numFmtId="0" fontId="0" fillId="8" borderId="117" xfId="4" applyFont="1" applyBorder="1"/>
    <xf numFmtId="0" fontId="0" fillId="10" borderId="129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0" fillId="8" borderId="120" xfId="4" applyFont="1" applyBorder="1"/>
    <xf numFmtId="0" fontId="13" fillId="8" borderId="32" xfId="4" applyFont="1" applyBorder="1"/>
    <xf numFmtId="0" fontId="13" fillId="8" borderId="35" xfId="4" applyFont="1" applyBorder="1"/>
    <xf numFmtId="0" fontId="14" fillId="14" borderId="31" xfId="0" applyFont="1" applyFill="1" applyBorder="1"/>
    <xf numFmtId="0" fontId="13" fillId="0" borderId="30" xfId="0" applyFont="1" applyBorder="1"/>
    <xf numFmtId="0" fontId="13" fillId="0" borderId="32" xfId="4" applyFont="1" applyFill="1" applyBorder="1"/>
    <xf numFmtId="0" fontId="0" fillId="0" borderId="17" xfId="4" applyFont="1" applyFill="1" applyBorder="1"/>
    <xf numFmtId="0" fontId="0" fillId="0" borderId="0" xfId="4" applyFont="1" applyFill="1" applyBorder="1"/>
    <xf numFmtId="0" fontId="15" fillId="8" borderId="131" xfId="4" applyFont="1" applyBorder="1"/>
    <xf numFmtId="0" fontId="13" fillId="8" borderId="118" xfId="4" applyFont="1" applyBorder="1"/>
    <xf numFmtId="0" fontId="13" fillId="8" borderId="11" xfId="4" applyFont="1" applyBorder="1"/>
    <xf numFmtId="0" fontId="13" fillId="8" borderId="132" xfId="4" applyFont="1" applyBorder="1"/>
    <xf numFmtId="0" fontId="13" fillId="8" borderId="119" xfId="4" applyFont="1" applyBorder="1"/>
    <xf numFmtId="0" fontId="13" fillId="8" borderId="130" xfId="4" applyFont="1" applyBorder="1"/>
    <xf numFmtId="0" fontId="13" fillId="8" borderId="51" xfId="4" applyFont="1" applyBorder="1"/>
    <xf numFmtId="0" fontId="13" fillId="8" borderId="133" xfId="4" applyFont="1" applyBorder="1"/>
    <xf numFmtId="0" fontId="13" fillId="8" borderId="134" xfId="4" applyFont="1" applyBorder="1"/>
    <xf numFmtId="164" fontId="0" fillId="0" borderId="0" xfId="0" applyNumberFormat="1"/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8" fillId="0" borderId="0" xfId="0" applyFont="1" applyBorder="1"/>
    <xf numFmtId="0" fontId="1" fillId="2" borderId="74" xfId="1" applyBorder="1"/>
    <xf numFmtId="0" fontId="24" fillId="0" borderId="0" xfId="0" applyFont="1"/>
    <xf numFmtId="0" fontId="13" fillId="13" borderId="135" xfId="7" applyFont="1" applyBorder="1"/>
    <xf numFmtId="0" fontId="15" fillId="13" borderId="135" xfId="7" applyFont="1" applyBorder="1"/>
    <xf numFmtId="0" fontId="9" fillId="13" borderId="20" xfId="7" applyBorder="1"/>
    <xf numFmtId="0" fontId="9" fillId="13" borderId="63" xfId="7" applyBorder="1"/>
    <xf numFmtId="0" fontId="9" fillId="13" borderId="21" xfId="7" applyBorder="1"/>
    <xf numFmtId="0" fontId="0" fillId="10" borderId="31" xfId="0" applyFill="1" applyBorder="1" applyAlignment="1">
      <alignment horizontal="center"/>
    </xf>
    <xf numFmtId="0" fontId="1" fillId="15" borderId="74" xfId="1" applyFill="1" applyBorder="1"/>
    <xf numFmtId="0" fontId="0" fillId="0" borderId="136" xfId="0" applyBorder="1"/>
    <xf numFmtId="0" fontId="13" fillId="0" borderId="137" xfId="0" applyFont="1" applyBorder="1"/>
    <xf numFmtId="0" fontId="0" fillId="0" borderId="137" xfId="0" applyBorder="1"/>
    <xf numFmtId="0" fontId="19" fillId="8" borderId="138" xfId="4" applyFont="1" applyBorder="1"/>
    <xf numFmtId="0" fontId="0" fillId="8" borderId="139" xfId="4" applyFont="1" applyBorder="1"/>
    <xf numFmtId="0" fontId="0" fillId="8" borderId="140" xfId="4" applyFont="1" applyBorder="1"/>
    <xf numFmtId="0" fontId="0" fillId="10" borderId="141" xfId="0" applyFill="1" applyBorder="1"/>
    <xf numFmtId="0" fontId="0" fillId="10" borderId="137" xfId="0" applyFill="1" applyBorder="1"/>
    <xf numFmtId="0" fontId="0" fillId="10" borderId="142" xfId="0" applyFill="1" applyBorder="1"/>
    <xf numFmtId="0" fontId="0" fillId="15" borderId="136" xfId="0" applyFill="1" applyBorder="1"/>
    <xf numFmtId="0" fontId="0" fillId="10" borderId="143" xfId="0" applyFill="1" applyBorder="1" applyAlignment="1">
      <alignment horizontal="center"/>
    </xf>
    <xf numFmtId="0" fontId="0" fillId="10" borderId="144" xfId="0" applyFill="1" applyBorder="1" applyAlignment="1">
      <alignment horizontal="center"/>
    </xf>
    <xf numFmtId="0" fontId="0" fillId="0" borderId="145" xfId="0" applyBorder="1"/>
    <xf numFmtId="0" fontId="0" fillId="0" borderId="144" xfId="0" applyBorder="1"/>
    <xf numFmtId="0" fontId="0" fillId="0" borderId="146" xfId="0" applyBorder="1"/>
    <xf numFmtId="0" fontId="13" fillId="0" borderId="145" xfId="0" applyFont="1" applyBorder="1"/>
    <xf numFmtId="0" fontId="0" fillId="15" borderId="147" xfId="0" applyFill="1" applyBorder="1"/>
    <xf numFmtId="0" fontId="10" fillId="0" borderId="144" xfId="0" applyFont="1" applyBorder="1"/>
    <xf numFmtId="0" fontId="13" fillId="0" borderId="143" xfId="0" applyFont="1" applyBorder="1"/>
    <xf numFmtId="0" fontId="7" fillId="9" borderId="20" xfId="5" applyBorder="1" applyAlignment="1">
      <alignment horizontal="center"/>
    </xf>
    <xf numFmtId="0" fontId="0" fillId="4" borderId="63" xfId="0" applyFill="1" applyBorder="1"/>
    <xf numFmtId="0" fontId="2" fillId="4" borderId="63" xfId="0" applyFont="1" applyFill="1" applyBorder="1"/>
    <xf numFmtId="0" fontId="2" fillId="4" borderId="63" xfId="0" applyFont="1" applyFill="1" applyBorder="1" applyAlignment="1">
      <alignment horizontal="center" vertical="center" wrapText="1"/>
    </xf>
    <xf numFmtId="0" fontId="2" fillId="14" borderId="63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0" fillId="0" borderId="0" xfId="0" applyAlignment="1">
      <alignment horizontal="right"/>
    </xf>
    <xf numFmtId="0" fontId="0" fillId="0" borderId="148" xfId="0" applyBorder="1"/>
    <xf numFmtId="0" fontId="2" fillId="0" borderId="148" xfId="0" applyFont="1" applyBorder="1" applyAlignment="1">
      <alignment horizontal="right"/>
    </xf>
    <xf numFmtId="0" fontId="0" fillId="8" borderId="39" xfId="4" applyFont="1" applyBorder="1"/>
    <xf numFmtId="0" fontId="0" fillId="4" borderId="16" xfId="0" applyFill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0" fillId="5" borderId="4" xfId="0" applyFill="1" applyBorder="1"/>
    <xf numFmtId="0" fontId="2" fillId="5" borderId="5" xfId="0" applyFont="1" applyFill="1" applyBorder="1" applyAlignment="1">
      <alignment horizontal="center" vertical="center" wrapText="1"/>
    </xf>
    <xf numFmtId="0" fontId="25" fillId="9" borderId="58" xfId="5" applyFont="1" applyBorder="1" applyAlignment="1">
      <alignment horizontal="center"/>
    </xf>
    <xf numFmtId="0" fontId="25" fillId="9" borderId="33" xfId="5" applyFont="1" applyBorder="1" applyAlignment="1">
      <alignment horizontal="center"/>
    </xf>
    <xf numFmtId="0" fontId="5" fillId="6" borderId="0" xfId="2" applyBorder="1"/>
    <xf numFmtId="0" fontId="10" fillId="0" borderId="0" xfId="0" applyFont="1" applyBorder="1"/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0" fillId="15" borderId="137" xfId="0" applyFill="1" applyBorder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 wrapText="1"/>
    </xf>
    <xf numFmtId="0" fontId="7" fillId="9" borderId="0" xfId="5" applyBorder="1"/>
    <xf numFmtId="0" fontId="1" fillId="2" borderId="0" xfId="1" applyBorder="1"/>
    <xf numFmtId="0" fontId="13" fillId="16" borderId="17" xfId="0" applyFont="1" applyFill="1" applyBorder="1"/>
    <xf numFmtId="0" fontId="7" fillId="9" borderId="8" xfId="5" applyBorder="1"/>
    <xf numFmtId="0" fontId="1" fillId="2" borderId="6" xfId="1" applyBorder="1"/>
    <xf numFmtId="0" fontId="1" fillId="2" borderId="7" xfId="1" applyBorder="1"/>
    <xf numFmtId="0" fontId="12" fillId="14" borderId="17" xfId="0" applyFont="1" applyFill="1" applyBorder="1"/>
    <xf numFmtId="0" fontId="15" fillId="14" borderId="16" xfId="0" applyFont="1" applyFill="1" applyBorder="1"/>
    <xf numFmtId="0" fontId="15" fillId="16" borderId="18" xfId="0" applyFont="1" applyFill="1" applyBorder="1"/>
    <xf numFmtId="0" fontId="0" fillId="15" borderId="142" xfId="0" applyFill="1" applyBorder="1"/>
    <xf numFmtId="0" fontId="10" fillId="0" borderId="142" xfId="0" applyFont="1" applyBorder="1"/>
    <xf numFmtId="0" fontId="7" fillId="9" borderId="30" xfId="5" applyBorder="1" applyAlignment="1">
      <alignment horizontal="center"/>
    </xf>
    <xf numFmtId="0" fontId="7" fillId="9" borderId="39" xfId="5" applyBorder="1" applyAlignment="1">
      <alignment horizontal="center"/>
    </xf>
    <xf numFmtId="0" fontId="7" fillId="9" borderId="30" xfId="5" applyBorder="1"/>
    <xf numFmtId="0" fontId="7" fillId="9" borderId="39" xfId="5" applyBorder="1"/>
    <xf numFmtId="0" fontId="1" fillId="2" borderId="39" xfId="1" applyBorder="1"/>
    <xf numFmtId="0" fontId="1" fillId="2" borderId="31" xfId="1" applyBorder="1"/>
    <xf numFmtId="0" fontId="1" fillId="2" borderId="149" xfId="1" applyBorder="1"/>
    <xf numFmtId="0" fontId="1" fillId="2" borderId="150" xfId="1" applyBorder="1"/>
    <xf numFmtId="0" fontId="0" fillId="15" borderId="0" xfId="0" applyFill="1" applyBorder="1"/>
    <xf numFmtId="0" fontId="10" fillId="0" borderId="17" xfId="0" applyFont="1" applyBorder="1"/>
    <xf numFmtId="0" fontId="26" fillId="0" borderId="17" xfId="0" applyFont="1" applyBorder="1"/>
    <xf numFmtId="0" fontId="28" fillId="0" borderId="17" xfId="0" applyFont="1" applyBorder="1"/>
    <xf numFmtId="0" fontId="13" fillId="14" borderId="38" xfId="0" applyFont="1" applyFill="1" applyBorder="1"/>
    <xf numFmtId="0" fontId="19" fillId="8" borderId="9" xfId="4" applyFont="1" applyBorder="1"/>
    <xf numFmtId="0" fontId="19" fillId="8" borderId="23" xfId="4" applyFont="1" applyBorder="1" applyAlignment="1">
      <alignment vertical="center"/>
    </xf>
    <xf numFmtId="0" fontId="13" fillId="0" borderId="0" xfId="8" applyFont="1" applyFill="1" applyBorder="1"/>
    <xf numFmtId="0" fontId="10" fillId="0" borderId="0" xfId="8" applyFont="1" applyFill="1" applyBorder="1"/>
    <xf numFmtId="0" fontId="15" fillId="16" borderId="39" xfId="0" applyFont="1" applyFill="1" applyBorder="1"/>
    <xf numFmtId="0" fontId="13" fillId="10" borderId="39" xfId="0" applyFont="1" applyFill="1" applyBorder="1"/>
    <xf numFmtId="0" fontId="0" fillId="10" borderId="39" xfId="0" applyFill="1" applyBorder="1"/>
    <xf numFmtId="0" fontId="10" fillId="9" borderId="60" xfId="5" applyFont="1" applyBorder="1"/>
    <xf numFmtId="0" fontId="7" fillId="9" borderId="67" xfId="5" applyBorder="1"/>
    <xf numFmtId="0" fontId="7" fillId="9" borderId="151" xfId="5" applyBorder="1"/>
    <xf numFmtId="0" fontId="7" fillId="9" borderId="68" xfId="5" applyBorder="1"/>
    <xf numFmtId="0" fontId="10" fillId="9" borderId="77" xfId="5" applyFont="1" applyBorder="1"/>
    <xf numFmtId="0" fontId="10" fillId="9" borderId="88" xfId="5" applyFont="1" applyBorder="1"/>
    <xf numFmtId="0" fontId="29" fillId="2" borderId="1" xfId="1" applyFont="1"/>
    <xf numFmtId="0" fontId="23" fillId="9" borderId="60" xfId="5" applyFont="1" applyBorder="1"/>
    <xf numFmtId="0" fontId="2" fillId="8" borderId="23" xfId="4" applyFont="1" applyBorder="1"/>
    <xf numFmtId="0" fontId="0" fillId="8" borderId="152" xfId="4" applyFont="1" applyBorder="1" applyAlignment="1">
      <alignment horizontal="center"/>
    </xf>
    <xf numFmtId="0" fontId="13" fillId="8" borderId="24" xfId="4" applyFont="1" applyBorder="1"/>
    <xf numFmtId="0" fontId="13" fillId="8" borderId="28" xfId="4" applyFont="1" applyBorder="1"/>
    <xf numFmtId="0" fontId="0" fillId="8" borderId="32" xfId="4" applyFont="1" applyBorder="1"/>
    <xf numFmtId="0" fontId="0" fillId="8" borderId="12" xfId="4" applyFont="1" applyBorder="1"/>
    <xf numFmtId="0" fontId="13" fillId="8" borderId="10" xfId="4" applyFont="1" applyBorder="1"/>
    <xf numFmtId="0" fontId="10" fillId="8" borderId="19" xfId="4" applyFont="1" applyBorder="1"/>
    <xf numFmtId="0" fontId="0" fillId="8" borderId="13" xfId="4" applyFont="1" applyBorder="1"/>
    <xf numFmtId="0" fontId="13" fillId="13" borderId="153" xfId="7" applyFont="1" applyBorder="1"/>
    <xf numFmtId="0" fontId="13" fillId="13" borderId="154" xfId="7" applyFont="1" applyBorder="1"/>
    <xf numFmtId="0" fontId="13" fillId="8" borderId="9" xfId="4" applyFont="1" applyBorder="1"/>
    <xf numFmtId="0" fontId="13" fillId="8" borderId="12" xfId="4" applyFont="1" applyBorder="1"/>
    <xf numFmtId="0" fontId="13" fillId="8" borderId="13" xfId="4" applyFont="1" applyBorder="1"/>
    <xf numFmtId="0" fontId="13" fillId="8" borderId="29" xfId="4" applyFont="1" applyBorder="1"/>
    <xf numFmtId="0" fontId="13" fillId="13" borderId="135" xfId="7" applyFont="1" applyBorder="1" applyAlignment="1">
      <alignment horizontal="center"/>
    </xf>
    <xf numFmtId="0" fontId="0" fillId="8" borderId="155" xfId="4" applyFont="1" applyBorder="1"/>
    <xf numFmtId="0" fontId="0" fillId="8" borderId="156" xfId="4" applyFont="1" applyBorder="1" applyAlignment="1">
      <alignment horizontal="center"/>
    </xf>
    <xf numFmtId="0" fontId="13" fillId="0" borderId="18" xfId="0" applyFont="1" applyFill="1" applyBorder="1"/>
    <xf numFmtId="0" fontId="13" fillId="0" borderId="6" xfId="0" applyFont="1" applyFill="1" applyBorder="1"/>
    <xf numFmtId="0" fontId="0" fillId="0" borderId="21" xfId="0" applyBorder="1"/>
    <xf numFmtId="0" fontId="13" fillId="0" borderId="21" xfId="0" applyFont="1" applyBorder="1"/>
    <xf numFmtId="0" fontId="15" fillId="8" borderId="34" xfId="4" applyFont="1" applyBorder="1"/>
    <xf numFmtId="0" fontId="15" fillId="8" borderId="9" xfId="4" applyFont="1" applyBorder="1"/>
    <xf numFmtId="0" fontId="13" fillId="15" borderId="20" xfId="0" applyFont="1" applyFill="1" applyBorder="1"/>
    <xf numFmtId="0" fontId="13" fillId="9" borderId="58" xfId="5" applyFont="1" applyBorder="1"/>
    <xf numFmtId="0" fontId="13" fillId="9" borderId="95" xfId="5" applyFont="1" applyBorder="1"/>
    <xf numFmtId="0" fontId="15" fillId="5" borderId="63" xfId="0" applyFont="1" applyFill="1" applyBorder="1" applyAlignment="1">
      <alignment horizontal="center"/>
    </xf>
    <xf numFmtId="0" fontId="15" fillId="5" borderId="63" xfId="0" applyFont="1" applyFill="1" applyBorder="1" applyAlignment="1">
      <alignment horizontal="center" vertical="center" wrapText="1"/>
    </xf>
    <xf numFmtId="0" fontId="13" fillId="9" borderId="69" xfId="5" applyFont="1" applyBorder="1"/>
    <xf numFmtId="0" fontId="13" fillId="9" borderId="93" xfId="5" applyFont="1" applyBorder="1"/>
    <xf numFmtId="0" fontId="15" fillId="5" borderId="63" xfId="0" applyFont="1" applyFill="1" applyBorder="1"/>
    <xf numFmtId="0" fontId="7" fillId="9" borderId="90" xfId="5" applyBorder="1"/>
    <xf numFmtId="0" fontId="15" fillId="9" borderId="157" xfId="5" applyFont="1" applyBorder="1"/>
    <xf numFmtId="0" fontId="7" fillId="9" borderId="158" xfId="5" applyBorder="1"/>
    <xf numFmtId="0" fontId="7" fillId="9" borderId="96" xfId="5" applyBorder="1"/>
    <xf numFmtId="0" fontId="7" fillId="9" borderId="159" xfId="5" applyBorder="1"/>
    <xf numFmtId="0" fontId="7" fillId="9" borderId="160" xfId="5" applyBorder="1"/>
    <xf numFmtId="0" fontId="13" fillId="0" borderId="23" xfId="4" applyFont="1" applyFill="1" applyBorder="1"/>
    <xf numFmtId="0" fontId="13" fillId="19" borderId="0" xfId="0" applyFont="1" applyFill="1"/>
    <xf numFmtId="0" fontId="15" fillId="14" borderId="39" xfId="0" applyFont="1" applyFill="1" applyBorder="1"/>
    <xf numFmtId="0" fontId="0" fillId="14" borderId="16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1" fillId="2" borderId="41" xfId="1" applyBorder="1"/>
    <xf numFmtId="0" fontId="10" fillId="0" borderId="16" xfId="0" applyFont="1" applyBorder="1"/>
    <xf numFmtId="0" fontId="10" fillId="0" borderId="4" xfId="0" applyFont="1" applyBorder="1"/>
    <xf numFmtId="0" fontId="10" fillId="0" borderId="5" xfId="0" applyFont="1" applyBorder="1"/>
    <xf numFmtId="0" fontId="5" fillId="8" borderId="53" xfId="4" applyFont="1" applyBorder="1"/>
    <xf numFmtId="0" fontId="19" fillId="8" borderId="161" xfId="4" applyFont="1" applyBorder="1"/>
    <xf numFmtId="0" fontId="17" fillId="8" borderId="48" xfId="4" applyFont="1" applyBorder="1"/>
    <xf numFmtId="0" fontId="0" fillId="8" borderId="36" xfId="4" applyFont="1" applyBorder="1"/>
    <xf numFmtId="0" fontId="30" fillId="8" borderId="162" xfId="4" applyFont="1" applyBorder="1"/>
    <xf numFmtId="0" fontId="0" fillId="8" borderId="163" xfId="4" applyFont="1" applyBorder="1"/>
    <xf numFmtId="0" fontId="0" fillId="0" borderId="16" xfId="0" applyBorder="1" applyAlignment="1">
      <alignment horizontal="center"/>
    </xf>
    <xf numFmtId="0" fontId="25" fillId="9" borderId="30" xfId="5" applyFont="1" applyBorder="1" applyAlignment="1">
      <alignment horizontal="center"/>
    </xf>
    <xf numFmtId="0" fontId="25" fillId="9" borderId="39" xfId="5" applyFont="1" applyBorder="1" applyAlignment="1">
      <alignment horizontal="center"/>
    </xf>
    <xf numFmtId="0" fontId="25" fillId="9" borderId="64" xfId="5" applyFont="1" applyBorder="1" applyAlignment="1">
      <alignment horizontal="center"/>
    </xf>
    <xf numFmtId="0" fontId="25" fillId="9" borderId="65" xfId="5" applyFont="1" applyBorder="1" applyAlignment="1">
      <alignment horizontal="center"/>
    </xf>
    <xf numFmtId="0" fontId="19" fillId="8" borderId="35" xfId="4" applyFont="1" applyBorder="1"/>
    <xf numFmtId="0" fontId="16" fillId="8" borderId="37" xfId="4" applyFont="1" applyBorder="1"/>
    <xf numFmtId="0" fontId="0" fillId="8" borderId="48" xfId="4" applyFont="1" applyBorder="1"/>
    <xf numFmtId="0" fontId="0" fillId="8" borderId="162" xfId="4" applyFont="1" applyBorder="1"/>
    <xf numFmtId="0" fontId="0" fillId="8" borderId="164" xfId="4" applyFont="1" applyBorder="1"/>
    <xf numFmtId="0" fontId="10" fillId="13" borderId="135" xfId="7" applyFont="1" applyBorder="1"/>
    <xf numFmtId="0" fontId="15" fillId="2" borderId="65" xfId="1" applyFont="1" applyBorder="1"/>
    <xf numFmtId="0" fontId="13" fillId="14" borderId="17" xfId="0" applyFont="1" applyFill="1" applyBorder="1"/>
    <xf numFmtId="0" fontId="15" fillId="2" borderId="100" xfId="1" applyFont="1" applyBorder="1"/>
    <xf numFmtId="0" fontId="13" fillId="8" borderId="26" xfId="4" applyFont="1" applyBorder="1"/>
    <xf numFmtId="0" fontId="15" fillId="5" borderId="38" xfId="0" applyFont="1" applyFill="1" applyBorder="1" applyAlignment="1">
      <alignment horizontal="center" vertical="center" wrapText="1"/>
    </xf>
    <xf numFmtId="0" fontId="13" fillId="9" borderId="72" xfId="5" applyFont="1" applyBorder="1"/>
    <xf numFmtId="0" fontId="13" fillId="9" borderId="64" xfId="5" applyFont="1" applyBorder="1"/>
    <xf numFmtId="0" fontId="13" fillId="14" borderId="30" xfId="0" applyFont="1" applyFill="1" applyBorder="1"/>
    <xf numFmtId="0" fontId="13" fillId="9" borderId="94" xfId="5" applyFont="1" applyBorder="1"/>
    <xf numFmtId="0" fontId="13" fillId="9" borderId="91" xfId="5" applyFont="1" applyBorder="1"/>
    <xf numFmtId="0" fontId="13" fillId="14" borderId="49" xfId="0" applyFont="1" applyFill="1" applyBorder="1"/>
    <xf numFmtId="0" fontId="15" fillId="2" borderId="89" xfId="1" applyFont="1" applyBorder="1"/>
    <xf numFmtId="0" fontId="13" fillId="14" borderId="39" xfId="0" applyFont="1" applyFill="1" applyBorder="1"/>
    <xf numFmtId="0" fontId="10" fillId="9" borderId="58" xfId="5" applyFont="1" applyBorder="1"/>
    <xf numFmtId="0" fontId="10" fillId="9" borderId="69" xfId="5" applyFont="1" applyBorder="1"/>
    <xf numFmtId="0" fontId="10" fillId="9" borderId="95" xfId="5" applyFont="1" applyBorder="1"/>
    <xf numFmtId="0" fontId="10" fillId="9" borderId="93" xfId="5" applyFont="1" applyBorder="1"/>
    <xf numFmtId="0" fontId="5" fillId="6" borderId="8" xfId="2" applyBorder="1"/>
    <xf numFmtId="0" fontId="13" fillId="8" borderId="27" xfId="4" applyFont="1" applyBorder="1"/>
    <xf numFmtId="0" fontId="10" fillId="8" borderId="32" xfId="4" applyFont="1" applyBorder="1"/>
    <xf numFmtId="0" fontId="10" fillId="8" borderId="3" xfId="4" applyFont="1" applyBorder="1"/>
    <xf numFmtId="0" fontId="13" fillId="0" borderId="39" xfId="0" applyFont="1" applyFill="1" applyBorder="1"/>
    <xf numFmtId="0" fontId="9" fillId="13" borderId="66" xfId="7" applyBorder="1"/>
    <xf numFmtId="0" fontId="9" fillId="13" borderId="31" xfId="7" applyBorder="1"/>
    <xf numFmtId="0" fontId="10" fillId="18" borderId="53" xfId="4" applyFont="1" applyFill="1" applyBorder="1"/>
    <xf numFmtId="0" fontId="10" fillId="0" borderId="17" xfId="4" applyFont="1" applyFill="1" applyBorder="1"/>
    <xf numFmtId="0" fontId="10" fillId="0" borderId="0" xfId="4" applyFont="1" applyFill="1" applyBorder="1"/>
    <xf numFmtId="0" fontId="10" fillId="0" borderId="46" xfId="4" applyFont="1" applyFill="1" applyBorder="1"/>
    <xf numFmtId="0" fontId="10" fillId="0" borderId="0" xfId="0" applyFont="1" applyFill="1" applyBorder="1"/>
    <xf numFmtId="0" fontId="10" fillId="8" borderId="9" xfId="4" applyFont="1" applyBorder="1"/>
    <xf numFmtId="0" fontId="10" fillId="8" borderId="12" xfId="4" applyFont="1" applyBorder="1"/>
    <xf numFmtId="0" fontId="10" fillId="8" borderId="10" xfId="4" applyFont="1" applyBorder="1"/>
    <xf numFmtId="0" fontId="10" fillId="8" borderId="13" xfId="4" applyFont="1" applyBorder="1"/>
    <xf numFmtId="0" fontId="10" fillId="8" borderId="37" xfId="4" applyFont="1" applyBorder="1"/>
    <xf numFmtId="0" fontId="10" fillId="8" borderId="3" xfId="4" applyFont="1"/>
    <xf numFmtId="0" fontId="13" fillId="0" borderId="48" xfId="4" applyFont="1" applyFill="1" applyBorder="1"/>
    <xf numFmtId="0" fontId="10" fillId="8" borderId="28" xfId="4" applyFont="1" applyBorder="1"/>
    <xf numFmtId="0" fontId="0" fillId="8" borderId="3" xfId="4" applyFont="1" applyBorder="1" applyAlignment="1">
      <alignment vertical="center" wrapText="1"/>
    </xf>
    <xf numFmtId="0" fontId="0" fillId="8" borderId="19" xfId="4" applyFont="1" applyBorder="1" applyAlignment="1">
      <alignment vertical="center" wrapText="1"/>
    </xf>
    <xf numFmtId="0" fontId="0" fillId="8" borderId="130" xfId="4" applyFont="1" applyBorder="1"/>
    <xf numFmtId="0" fontId="0" fillId="8" borderId="51" xfId="4" applyFont="1" applyBorder="1"/>
    <xf numFmtId="0" fontId="15" fillId="8" borderId="32" xfId="4" applyFont="1" applyBorder="1"/>
    <xf numFmtId="0" fontId="15" fillId="8" borderId="12" xfId="4" applyFont="1" applyBorder="1"/>
    <xf numFmtId="0" fontId="15" fillId="8" borderId="35" xfId="4" applyFont="1" applyBorder="1"/>
    <xf numFmtId="0" fontId="13" fillId="8" borderId="37" xfId="4" applyFont="1" applyBorder="1" applyAlignment="1">
      <alignment vertical="center" wrapText="1"/>
    </xf>
    <xf numFmtId="0" fontId="0" fillId="8" borderId="50" xfId="4" applyFont="1" applyBorder="1"/>
    <xf numFmtId="0" fontId="13" fillId="8" borderId="163" xfId="4" applyFont="1" applyBorder="1"/>
    <xf numFmtId="0" fontId="0" fillId="8" borderId="35" xfId="4" applyFont="1" applyBorder="1"/>
    <xf numFmtId="0" fontId="10" fillId="0" borderId="30" xfId="0" applyFont="1" applyBorder="1"/>
    <xf numFmtId="1" fontId="0" fillId="14" borderId="30" xfId="0" applyNumberFormat="1" applyFill="1" applyBorder="1" applyAlignment="1">
      <alignment horizontal="center"/>
    </xf>
    <xf numFmtId="1" fontId="0" fillId="14" borderId="39" xfId="0" applyNumberFormat="1" applyFill="1" applyBorder="1" applyAlignment="1">
      <alignment horizontal="center"/>
    </xf>
    <xf numFmtId="1" fontId="0" fillId="14" borderId="31" xfId="0" applyNumberFormat="1" applyFill="1" applyBorder="1" applyAlignment="1">
      <alignment horizontal="center"/>
    </xf>
    <xf numFmtId="0" fontId="0" fillId="17" borderId="16" xfId="0" applyFill="1" applyBorder="1"/>
    <xf numFmtId="0" fontId="0" fillId="17" borderId="4" xfId="0" applyFill="1" applyBorder="1"/>
    <xf numFmtId="0" fontId="0" fillId="17" borderId="5" xfId="0" applyFill="1" applyBorder="1"/>
    <xf numFmtId="0" fontId="30" fillId="8" borderId="165" xfId="4" applyFont="1" applyBorder="1"/>
    <xf numFmtId="0" fontId="0" fillId="8" borderId="26" xfId="4" applyFont="1" applyBorder="1"/>
    <xf numFmtId="0" fontId="0" fillId="8" borderId="166" xfId="4" applyFont="1" applyBorder="1"/>
    <xf numFmtId="0" fontId="0" fillId="8" borderId="121" xfId="4" applyFont="1" applyBorder="1"/>
    <xf numFmtId="2" fontId="6" fillId="7" borderId="0" xfId="3" applyNumberFormat="1"/>
    <xf numFmtId="1" fontId="0" fillId="0" borderId="39" xfId="0" applyNumberFormat="1" applyBorder="1" applyAlignment="1">
      <alignment horizontal="center"/>
    </xf>
    <xf numFmtId="0" fontId="0" fillId="5" borderId="0" xfId="0" applyFill="1" applyAlignment="1">
      <alignment horizontal="center"/>
    </xf>
    <xf numFmtId="0" fontId="13" fillId="16" borderId="18" xfId="0" applyFont="1" applyFill="1" applyBorder="1"/>
  </cellXfs>
  <cellStyles count="9">
    <cellStyle name="20% - Accent1" xfId="2" builtinId="30"/>
    <cellStyle name="Bad" xfId="7" builtinId="27"/>
    <cellStyle name="Calculation" xfId="1" builtinId="22"/>
    <cellStyle name="Good" xfId="3" builtinId="26"/>
    <cellStyle name="Input" xfId="5" builtinId="20"/>
    <cellStyle name="Neutral" xfId="6" builtinId="28"/>
    <cellStyle name="Normal" xfId="0" builtinId="0"/>
    <cellStyle name="Note" xfId="4" builtinId="10"/>
    <cellStyle name="Warning Text" xfId="8" builtinId="11"/>
  </cellStyles>
  <dxfs count="5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CC"/>
      <color rgb="FF99FFCC"/>
      <color rgb="FFFF99CC"/>
      <color rgb="FFFF7C80"/>
      <color rgb="FFFFCCFF"/>
      <color rgb="FFCCECFF"/>
      <color rgb="FFB1D7C2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308445</xdr:colOff>
      <xdr:row>26</xdr:row>
      <xdr:rowOff>25686</xdr:rowOff>
    </xdr:from>
    <xdr:to>
      <xdr:col>30</xdr:col>
      <xdr:colOff>359596</xdr:colOff>
      <xdr:row>37</xdr:row>
      <xdr:rowOff>85619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7654647" y="4845978"/>
          <a:ext cx="3090589" cy="20976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r>
            <a:rPr lang="en-GB" sz="1100"/>
            <a:t>Main Village - full</a:t>
          </a:r>
        </a:p>
        <a:p>
          <a:r>
            <a:rPr lang="en-GB" sz="1100"/>
            <a:t>West Farm - full (</a:t>
          </a:r>
          <a:r>
            <a:rPr lang="en-GB" sz="1100">
              <a:solidFill>
                <a:srgbClr val="FF0000"/>
              </a:solidFill>
            </a:rPr>
            <a:t>potential upgrade to Holy House</a:t>
          </a:r>
          <a:r>
            <a:rPr lang="en-GB" sz="1100"/>
            <a:t>)</a:t>
          </a:r>
        </a:p>
        <a:p>
          <a:r>
            <a:rPr lang="en-GB" sz="1100"/>
            <a:t>Rothyard - </a:t>
          </a:r>
          <a:r>
            <a:rPr lang="en-GB" sz="1100" baseline="0"/>
            <a:t>Full</a:t>
          </a:r>
        </a:p>
        <a:p>
          <a:r>
            <a:rPr lang="en-GB" sz="1100" baseline="0"/>
            <a:t>Rothvin -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</a:t>
          </a: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Knighthome - full</a:t>
          </a:r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</xdr:txBody>
    </xdr:sp>
    <xdr:clientData/>
  </xdr:twoCellAnchor>
  <xdr:twoCellAnchor>
    <xdr:from>
      <xdr:col>14</xdr:col>
      <xdr:colOff>1</xdr:colOff>
      <xdr:row>26</xdr:row>
      <xdr:rowOff>21167</xdr:rowOff>
    </xdr:from>
    <xdr:to>
      <xdr:col>15</xdr:col>
      <xdr:colOff>0</xdr:colOff>
      <xdr:row>28</xdr:row>
      <xdr:rowOff>59932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686C9C6-42D8-4F87-BAD4-3B558694D98A}"/>
            </a:ext>
          </a:extLst>
        </xdr:cNvPr>
        <xdr:cNvSpPr txBox="1"/>
      </xdr:nvSpPr>
      <xdr:spPr>
        <a:xfrm>
          <a:off x="10085918" y="4889500"/>
          <a:ext cx="920749" cy="4197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/>
            <a:t>FULL</a:t>
          </a:r>
        </a:p>
      </xdr:txBody>
    </xdr:sp>
    <xdr:clientData/>
  </xdr:twoCellAnchor>
  <xdr:twoCellAnchor>
    <xdr:from>
      <xdr:col>14</xdr:col>
      <xdr:colOff>15412</xdr:colOff>
      <xdr:row>29</xdr:row>
      <xdr:rowOff>42334</xdr:rowOff>
    </xdr:from>
    <xdr:to>
      <xdr:col>14</xdr:col>
      <xdr:colOff>899583</xdr:colOff>
      <xdr:row>30</xdr:row>
      <xdr:rowOff>148166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83A1FEB-F7C8-4385-857B-1C1F772B893A}"/>
            </a:ext>
          </a:extLst>
        </xdr:cNvPr>
        <xdr:cNvSpPr txBox="1"/>
      </xdr:nvSpPr>
      <xdr:spPr>
        <a:xfrm>
          <a:off x="10101329" y="5482167"/>
          <a:ext cx="884171" cy="2857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/>
            <a:t>FULL</a:t>
          </a:r>
        </a:p>
      </xdr:txBody>
    </xdr:sp>
    <xdr:clientData/>
  </xdr:twoCellAnchor>
  <xdr:twoCellAnchor>
    <xdr:from>
      <xdr:col>14</xdr:col>
      <xdr:colOff>34247</xdr:colOff>
      <xdr:row>31</xdr:row>
      <xdr:rowOff>42333</xdr:rowOff>
    </xdr:from>
    <xdr:to>
      <xdr:col>14</xdr:col>
      <xdr:colOff>889000</xdr:colOff>
      <xdr:row>33</xdr:row>
      <xdr:rowOff>59932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021E132-1803-49DE-B942-9767E5CAAD38}"/>
            </a:ext>
          </a:extLst>
        </xdr:cNvPr>
        <xdr:cNvSpPr txBox="1"/>
      </xdr:nvSpPr>
      <xdr:spPr>
        <a:xfrm>
          <a:off x="10120164" y="5852583"/>
          <a:ext cx="854753" cy="37743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/>
            <a:t>FULL</a:t>
          </a:r>
        </a:p>
      </xdr:txBody>
    </xdr:sp>
    <xdr:clientData/>
  </xdr:twoCellAnchor>
  <xdr:twoCellAnchor>
    <xdr:from>
      <xdr:col>14</xdr:col>
      <xdr:colOff>6849</xdr:colOff>
      <xdr:row>34</xdr:row>
      <xdr:rowOff>63500</xdr:rowOff>
    </xdr:from>
    <xdr:to>
      <xdr:col>15</xdr:col>
      <xdr:colOff>0</xdr:colOff>
      <xdr:row>36</xdr:row>
      <xdr:rowOff>23972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D77E152-7221-4C1C-8F79-20C4592E90E9}"/>
            </a:ext>
          </a:extLst>
        </xdr:cNvPr>
        <xdr:cNvSpPr txBox="1"/>
      </xdr:nvSpPr>
      <xdr:spPr>
        <a:xfrm>
          <a:off x="10092766" y="6424083"/>
          <a:ext cx="913901" cy="33088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/>
            <a:t>FULL</a:t>
          </a:r>
        </a:p>
      </xdr:txBody>
    </xdr:sp>
    <xdr:clientData/>
  </xdr:twoCellAnchor>
  <xdr:twoCellAnchor>
    <xdr:from>
      <xdr:col>25</xdr:col>
      <xdr:colOff>412750</xdr:colOff>
      <xdr:row>40</xdr:row>
      <xdr:rowOff>179917</xdr:rowOff>
    </xdr:from>
    <xdr:to>
      <xdr:col>30</xdr:col>
      <xdr:colOff>116417</xdr:colOff>
      <xdr:row>50</xdr:row>
      <xdr:rowOff>116416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CFD7581-0502-41DB-8D22-017AE6B6BFFA}"/>
            </a:ext>
          </a:extLst>
        </xdr:cNvPr>
        <xdr:cNvSpPr txBox="1"/>
      </xdr:nvSpPr>
      <xdr:spPr>
        <a:xfrm>
          <a:off x="17832917" y="7641167"/>
          <a:ext cx="2772833" cy="1799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Junction:</a:t>
          </a:r>
        </a:p>
        <a:p>
          <a:endParaRPr lang="en-GB" sz="1100"/>
        </a:p>
        <a:p>
          <a:r>
            <a:rPr lang="en-GB" sz="1100"/>
            <a:t>Space in th Hamlets</a:t>
          </a:r>
        </a:p>
      </xdr:txBody>
    </xdr:sp>
    <xdr:clientData/>
  </xdr:twoCellAnchor>
  <xdr:twoCellAnchor>
    <xdr:from>
      <xdr:col>14</xdr:col>
      <xdr:colOff>21167</xdr:colOff>
      <xdr:row>37</xdr:row>
      <xdr:rowOff>63500</xdr:rowOff>
    </xdr:from>
    <xdr:to>
      <xdr:col>15</xdr:col>
      <xdr:colOff>14318</xdr:colOff>
      <xdr:row>39</xdr:row>
      <xdr:rowOff>34556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B4CD4D5-636A-4F77-86E3-F62D3AABF599}"/>
            </a:ext>
          </a:extLst>
        </xdr:cNvPr>
        <xdr:cNvSpPr txBox="1"/>
      </xdr:nvSpPr>
      <xdr:spPr>
        <a:xfrm>
          <a:off x="10107084" y="6985000"/>
          <a:ext cx="913901" cy="33088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/>
            <a:t>FULL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212680</xdr:colOff>
      <xdr:row>36</xdr:row>
      <xdr:rowOff>139115</xdr:rowOff>
    </xdr:from>
    <xdr:to>
      <xdr:col>14</xdr:col>
      <xdr:colOff>19083</xdr:colOff>
      <xdr:row>38</xdr:row>
      <xdr:rowOff>54485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718595" y="7805578"/>
          <a:ext cx="3744177" cy="33354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7030A0"/>
              </a:solidFill>
            </a:rPr>
            <a:t>Also own a house in Ivory Hill, Tusk </a:t>
          </a:r>
          <a:r>
            <a:rPr lang="en-GB" sz="1100" b="1" baseline="0">
              <a:solidFill>
                <a:srgbClr val="7030A0"/>
              </a:solidFill>
            </a:rPr>
            <a:t> (3*, Stab+1)</a:t>
          </a:r>
          <a:endParaRPr lang="en-GB" sz="1100" b="1">
            <a:solidFill>
              <a:srgbClr val="7030A0"/>
            </a:solidFill>
          </a:endParaRPr>
        </a:p>
      </xdr:txBody>
    </xdr:sp>
    <xdr:clientData/>
  </xdr:twoCellAnchor>
  <xdr:twoCellAnchor>
    <xdr:from>
      <xdr:col>27</xdr:col>
      <xdr:colOff>3418</xdr:colOff>
      <xdr:row>10</xdr:row>
      <xdr:rowOff>19680</xdr:rowOff>
    </xdr:from>
    <xdr:to>
      <xdr:col>34</xdr:col>
      <xdr:colOff>192687</xdr:colOff>
      <xdr:row>34</xdr:row>
      <xdr:rowOff>44824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25E8C1-BBCE-41A0-98C6-21F7FC143A73}"/>
            </a:ext>
          </a:extLst>
        </xdr:cNvPr>
        <xdr:cNvSpPr txBox="1"/>
      </xdr:nvSpPr>
      <xdr:spPr>
        <a:xfrm>
          <a:off x="17607859" y="1969504"/>
          <a:ext cx="4593181" cy="478764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4718</a:t>
          </a:r>
          <a:r>
            <a:rPr lang="en-GB" sz="1100" baseline="0">
              <a:solidFill>
                <a:srgbClr val="FF0000"/>
              </a:solidFill>
            </a:rPr>
            <a:t> developments - 19.2 to spend before developments.</a:t>
          </a:r>
        </a:p>
        <a:p>
          <a:endParaRPr lang="en-GB" sz="1100" baseline="0">
            <a:solidFill>
              <a:srgbClr val="FF0000"/>
            </a:solidFill>
          </a:endParaRPr>
        </a:p>
        <a:p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Mound: </a:t>
          </a:r>
          <a:r>
            <a:rPr lang="en-GB" sz="1100" baseline="0">
              <a:solidFill>
                <a:sysClr val="windowText" lastClr="000000"/>
              </a:solidFill>
            </a:rPr>
            <a:t>Local Market (cost 1.5) Econ +1, Stab +1</a:t>
          </a:r>
        </a:p>
        <a:p>
          <a:r>
            <a:rPr lang="en-GB" sz="1100" baseline="0">
              <a:solidFill>
                <a:sysClr val="windowText" lastClr="000000"/>
              </a:solidFill>
            </a:rPr>
            <a:t>Mound: Upgrade Fort &gt; Garrison (Cost 2bp) Stab +1, Def +1</a:t>
          </a:r>
        </a:p>
        <a:p>
          <a:endParaRPr lang="en-GB" sz="1100" baseline="0">
            <a:solidFill>
              <a:sysClr val="windowText" lastClr="000000"/>
            </a:solidFill>
          </a:endParaRPr>
        </a:p>
        <a:p>
          <a:r>
            <a:rPr lang="en-GB" sz="1100" baseline="0">
              <a:solidFill>
                <a:sysClr val="windowText" lastClr="000000"/>
              </a:solidFill>
            </a:rPr>
            <a:t>Mound:  Total Cost 3.5 bp </a:t>
          </a:r>
          <a:r>
            <a:rPr lang="en-GB" sz="1100" u="sng" baseline="0">
              <a:solidFill>
                <a:srgbClr val="002060"/>
              </a:solidFill>
            </a:rPr>
            <a:t>15.7 bp left to spend</a:t>
          </a:r>
        </a:p>
        <a:p>
          <a:endParaRPr lang="en-GB" sz="1100" u="sng" baseline="0">
            <a:solidFill>
              <a:srgbClr val="002060"/>
            </a:solidFill>
          </a:endParaRPr>
        </a:p>
        <a:p>
          <a:r>
            <a:rPr lang="en-GB" u="none">
              <a:solidFill>
                <a:sysClr val="windowText" lastClr="000000"/>
              </a:solidFill>
            </a:rPr>
            <a:t>Outer:  Night Soil Collectors (cost 1) Loy +2</a:t>
          </a:r>
        </a:p>
        <a:p>
          <a:r>
            <a:rPr lang="en-GB" u="none">
              <a:solidFill>
                <a:sysClr val="windowText" lastClr="000000"/>
              </a:solidFill>
            </a:rPr>
            <a:t>Outer:  Watchtower &gt; Fort (Cost 1) Def +1</a:t>
          </a:r>
        </a:p>
        <a:p>
          <a:endParaRPr lang="en-GB" u="none">
            <a:solidFill>
              <a:sysClr val="windowText" lastClr="000000"/>
            </a:solidFill>
          </a:endParaRPr>
        </a:p>
        <a:p>
          <a:endParaRPr lang="en-GB" u="none">
            <a:solidFill>
              <a:sysClr val="windowText" lastClr="000000"/>
            </a:solidFill>
          </a:endParaRPr>
        </a:p>
        <a:p>
          <a:r>
            <a:rPr lang="en-GB" u="none">
              <a:solidFill>
                <a:sysClr val="windowText" lastClr="000000"/>
              </a:solidFill>
            </a:rPr>
            <a:t>Pecora (Hamlet) Fort Villa (Wilbur) Cost 2 - Stab+1,</a:t>
          </a:r>
          <a:r>
            <a:rPr lang="en-GB" u="none" baseline="0">
              <a:solidFill>
                <a:sysClr val="windowText" lastClr="000000"/>
              </a:solidFill>
            </a:rPr>
            <a:t> Def +1 </a:t>
          </a:r>
        </a:p>
        <a:p>
          <a:r>
            <a:rPr lang="en-GB"/>
            <a:t>Far Bastion =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Fort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Cost 2    Def+2 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Mound to Town 1bp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Fort Villa for Zauria. 2bp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Makes Cyrus a Baron.</a:t>
          </a:r>
        </a:p>
        <a:p>
          <a:endParaRPr lang="en-GB" sz="110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1bp to help fund dwarf school in Newdawn.</a:t>
          </a:r>
        </a:p>
        <a:p>
          <a:endParaRPr lang="en-GB" sz="1100" b="0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3bp proposed spend in Tusk</a:t>
          </a:r>
        </a:p>
        <a:p>
          <a:r>
            <a:rPr lang="en-GB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2bp  small farm at Far Bastion.</a:t>
          </a:r>
        </a:p>
        <a:p>
          <a:endParaRPr lang="en-GB" sz="11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0.7 donation to Three Ladies.</a:t>
          </a:r>
          <a:endParaRPr lang="en-GB" b="1" u="none">
            <a:solidFill>
              <a:sysClr val="windowText" lastClr="000000"/>
            </a:solidFill>
          </a:endParaRPr>
        </a:p>
        <a:p>
          <a:endParaRPr lang="en-GB" u="none">
            <a:solidFill>
              <a:sysClr val="windowText" lastClr="000000"/>
            </a:solidFill>
          </a:endParaRPr>
        </a:p>
        <a:p>
          <a:endParaRPr lang="en-GB"/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endParaRPr lang="en-GB" sz="1100"/>
        </a:p>
      </xdr:txBody>
    </xdr:sp>
    <xdr:clientData/>
  </xdr:twoCellAnchor>
  <xdr:twoCellAnchor>
    <xdr:from>
      <xdr:col>26</xdr:col>
      <xdr:colOff>605116</xdr:colOff>
      <xdr:row>35</xdr:row>
      <xdr:rowOff>44823</xdr:rowOff>
    </xdr:from>
    <xdr:to>
      <xdr:col>33</xdr:col>
      <xdr:colOff>605117</xdr:colOff>
      <xdr:row>48</xdr:row>
      <xdr:rowOff>134469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A573381-66CA-E288-FF4A-A7FD5F04ED3B}"/>
            </a:ext>
          </a:extLst>
        </xdr:cNvPr>
        <xdr:cNvSpPr txBox="1"/>
      </xdr:nvSpPr>
      <xdr:spPr>
        <a:xfrm>
          <a:off x="17604440" y="6958852"/>
          <a:ext cx="4403912" cy="26445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Future development plans</a:t>
          </a:r>
        </a:p>
        <a:p>
          <a:endParaRPr lang="en-GB" sz="1100"/>
        </a:p>
        <a:p>
          <a:r>
            <a:rPr lang="en-GB" sz="1100"/>
            <a:t>Drains across the town.</a:t>
          </a:r>
        </a:p>
        <a:p>
          <a:endParaRPr lang="en-GB" sz="1100"/>
        </a:p>
        <a:p>
          <a:r>
            <a:rPr lang="en-GB" sz="1100"/>
            <a:t>Dominate the Wool</a:t>
          </a:r>
          <a:r>
            <a:rPr lang="en-GB" sz="1100" baseline="0"/>
            <a:t> Trade.</a:t>
          </a:r>
        </a:p>
        <a:p>
          <a:r>
            <a:rPr lang="en-GB" sz="1100" baseline="0"/>
            <a:t>Shearers,  Comber/carders, Spinners, Weavers, Fullers, Dyers, Tailors</a:t>
          </a:r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810846</xdr:colOff>
      <xdr:row>84</xdr:row>
      <xdr:rowOff>0</xdr:rowOff>
    </xdr:from>
    <xdr:to>
      <xdr:col>13</xdr:col>
      <xdr:colOff>117230</xdr:colOff>
      <xdr:row>86</xdr:row>
      <xdr:rowOff>19539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653F9E-895E-4C65-B9A8-EAF8D81630B1}"/>
            </a:ext>
          </a:extLst>
        </xdr:cNvPr>
        <xdr:cNvSpPr txBox="1"/>
      </xdr:nvSpPr>
      <xdr:spPr>
        <a:xfrm>
          <a:off x="6281615" y="14331462"/>
          <a:ext cx="2921000" cy="39076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Do nothing until Varnhold is resolved.</a:t>
          </a:r>
        </a:p>
      </xdr:txBody>
    </xdr:sp>
    <xdr:clientData/>
  </xdr:twoCellAnchor>
  <xdr:twoCellAnchor>
    <xdr:from>
      <xdr:col>27</xdr:col>
      <xdr:colOff>10886</xdr:colOff>
      <xdr:row>59</xdr:row>
      <xdr:rowOff>76200</xdr:rowOff>
    </xdr:from>
    <xdr:to>
      <xdr:col>32</xdr:col>
      <xdr:colOff>206829</xdr:colOff>
      <xdr:row>80</xdr:row>
      <xdr:rowOff>163286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3CC548-776B-6E64-782E-AF896A70F52A}"/>
            </a:ext>
          </a:extLst>
        </xdr:cNvPr>
        <xdr:cNvSpPr txBox="1"/>
      </xdr:nvSpPr>
      <xdr:spPr>
        <a:xfrm>
          <a:off x="17623972" y="11353800"/>
          <a:ext cx="3298371" cy="36902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27</xdr:col>
      <xdr:colOff>0</xdr:colOff>
      <xdr:row>5</xdr:row>
      <xdr:rowOff>174171</xdr:rowOff>
    </xdr:from>
    <xdr:to>
      <xdr:col>32</xdr:col>
      <xdr:colOff>97972</xdr:colOff>
      <xdr:row>30</xdr:row>
      <xdr:rowOff>141514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0C7E43D-FD97-432A-4F88-61F48308AE26}"/>
            </a:ext>
          </a:extLst>
        </xdr:cNvPr>
        <xdr:cNvSpPr txBox="1"/>
      </xdr:nvSpPr>
      <xdr:spPr>
        <a:xfrm>
          <a:off x="17613086" y="1143000"/>
          <a:ext cx="3200400" cy="47461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4718 Developments</a:t>
          </a:r>
        </a:p>
        <a:p>
          <a:endParaRPr lang="en-GB" sz="1100"/>
        </a:p>
        <a:p>
          <a:r>
            <a:rPr lang="en-GB" sz="1100"/>
            <a:t>13bp to spend.</a:t>
          </a:r>
        </a:p>
        <a:p>
          <a:endParaRPr lang="en-GB" sz="1100"/>
        </a:p>
        <a:p>
          <a:r>
            <a:rPr lang="en-GB" sz="1100"/>
            <a:t>District Wall and paved streets for Extus (3bp)</a:t>
          </a:r>
          <a:endParaRPr lang="en-GB"/>
        </a:p>
        <a:p>
          <a:r>
            <a:rPr lang="en-GB" sz="1100"/>
            <a:t>Great Farms </a:t>
          </a:r>
        </a:p>
        <a:p>
          <a:r>
            <a:rPr lang="en-GB" sz="1100"/>
            <a:t> -  Finden Farm (Newgate)</a:t>
          </a:r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/>
            <a:t>- Lebo Farm (Westgate)</a:t>
          </a:r>
        </a:p>
        <a:p>
          <a:endParaRPr lang="en-GB"/>
        </a:p>
        <a:p>
          <a:r>
            <a:rPr lang="en-GB"/>
            <a:t>Hospital (2.5bp)</a:t>
          </a:r>
        </a:p>
        <a:p>
          <a:r>
            <a:rPr lang="en-GB"/>
            <a:t>Carpenter (1bp)</a:t>
          </a:r>
        </a:p>
        <a:p>
          <a:endParaRPr lang="en-GB" sz="1100"/>
        </a:p>
        <a:p>
          <a:r>
            <a:rPr lang="en-GB" sz="1100"/>
            <a:t>12.5  spent </a:t>
          </a:r>
        </a:p>
        <a:p>
          <a:endParaRPr lang="en-GB" sz="1100"/>
        </a:p>
        <a:p>
          <a:r>
            <a:rPr lang="en-GB" sz="1100" b="1"/>
            <a:t>Done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302418</xdr:colOff>
      <xdr:row>75</xdr:row>
      <xdr:rowOff>-1</xdr:rowOff>
    </xdr:from>
    <xdr:to>
      <xdr:col>22</xdr:col>
      <xdr:colOff>297656</xdr:colOff>
      <xdr:row>79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0803731" y="11168062"/>
          <a:ext cx="4138613" cy="86915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Restrictions:  Village  can be developed to Size 6.  However, it cannot be developed into a town,  any secondary developments must be 'Green Sympathetic).  On edge of 'Nature' reserve</a:t>
          </a:r>
        </a:p>
      </xdr:txBody>
    </xdr:sp>
    <xdr:clientData/>
  </xdr:twoCellAnchor>
  <xdr:twoCellAnchor>
    <xdr:from>
      <xdr:col>27</xdr:col>
      <xdr:colOff>11723</xdr:colOff>
      <xdr:row>4</xdr:row>
      <xdr:rowOff>184352</xdr:rowOff>
    </xdr:from>
    <xdr:to>
      <xdr:col>33</xdr:col>
      <xdr:colOff>605021</xdr:colOff>
      <xdr:row>58</xdr:row>
      <xdr:rowOff>178593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7737015" y="934629"/>
          <a:ext cx="4321237" cy="101933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/>
            <a:t>4718 developments</a:t>
          </a:r>
        </a:p>
        <a:p>
          <a:endParaRPr lang="en-GB"/>
        </a:p>
        <a:p>
          <a:r>
            <a:rPr lang="en-GB"/>
            <a:t>Sundance Square:</a:t>
          </a:r>
          <a:br>
            <a:rPr lang="en-GB"/>
          </a:br>
          <a:r>
            <a:rPr lang="en-GB"/>
            <a:t>1 BP: Town Hall</a:t>
          </a:r>
          <a:br>
            <a:rPr lang="en-GB"/>
          </a:br>
          <a:r>
            <a:rPr lang="en-GB"/>
            <a:t>1.5 BP: Granary</a:t>
          </a:r>
          <a:br>
            <a:rPr lang="en-GB"/>
          </a:br>
          <a:r>
            <a:rPr lang="en-GB"/>
            <a:t>0 BP: Upgrade Chapel to Priory (Lutz)</a:t>
          </a:r>
          <a:br>
            <a:rPr lang="en-GB"/>
          </a:br>
          <a:br>
            <a:rPr lang="en-GB"/>
          </a:br>
          <a:r>
            <a:rPr lang="en-GB"/>
            <a:t>Merchant Quarter:</a:t>
          </a:r>
          <a:br>
            <a:rPr lang="en-GB"/>
          </a:br>
          <a:r>
            <a:rPr lang="en-GB"/>
            <a:t>3.5 BP: Exotic Artisan</a:t>
          </a:r>
          <a:br>
            <a:rPr lang="en-GB"/>
          </a:br>
          <a:r>
            <a:rPr lang="en-GB"/>
            <a:t>1.5 BP: Orphanage</a:t>
          </a:r>
          <a:br>
            <a:rPr lang="en-GB"/>
          </a:br>
          <a:r>
            <a:rPr lang="en-GB"/>
            <a:t>0 BP: Bank (Andalon)</a:t>
          </a:r>
          <a:br>
            <a:rPr lang="en-GB"/>
          </a:br>
          <a:r>
            <a:rPr lang="en-GB"/>
            <a:t>0 BP: Mint (Lord Henry)</a:t>
          </a:r>
          <a:br>
            <a:rPr lang="en-GB"/>
          </a:br>
          <a:r>
            <a:rPr lang="en-GB"/>
            <a:t>0 BP: Public School (Clan Lorson)</a:t>
          </a:r>
          <a:br>
            <a:rPr lang="en-GB"/>
          </a:br>
          <a:br>
            <a:rPr lang="en-GB"/>
          </a:br>
          <a:r>
            <a:rPr lang="en-GB"/>
            <a:t>Duskside:</a:t>
          </a:r>
          <a:br>
            <a:rPr lang="en-GB"/>
          </a:br>
          <a:r>
            <a:rPr lang="en-GB"/>
            <a:t>1 BP: Dance Hall</a:t>
          </a:r>
          <a:br>
            <a:rPr lang="en-GB"/>
          </a:br>
          <a:r>
            <a:rPr lang="en-GB"/>
            <a:t>2 BP: Magical Street Lights</a:t>
          </a:r>
          <a:br>
            <a:rPr lang="en-GB"/>
          </a:br>
          <a:r>
            <a:rPr lang="en-GB"/>
            <a:t>0 BP: Ampitheatre (Cass, but Econ goes to Marik)</a:t>
          </a:r>
          <a:br>
            <a:rPr lang="en-GB"/>
          </a:br>
          <a:r>
            <a:rPr lang="en-GB"/>
            <a:t>0 BP: Hotel (Cass)</a:t>
          </a:r>
          <a:br>
            <a:rPr lang="en-GB"/>
          </a:br>
          <a:r>
            <a:rPr lang="en-GB"/>
            <a:t>0 BP: Upgrade Taldan Bath to Taldan Great Bath (Rana)</a:t>
          </a:r>
          <a:br>
            <a:rPr lang="en-GB"/>
          </a:br>
          <a:br>
            <a:rPr lang="en-GB"/>
          </a:br>
          <a:r>
            <a:rPr lang="en-GB"/>
            <a:t>Dawnward:</a:t>
          </a:r>
          <a:br>
            <a:rPr lang="en-GB"/>
          </a:br>
          <a:r>
            <a:rPr lang="en-GB"/>
            <a:t>4.5 BP: Upgrade Magic College to Magic Academy</a:t>
          </a:r>
          <a:br>
            <a:rPr lang="en-GB"/>
          </a:br>
          <a:r>
            <a:rPr lang="en-GB"/>
            <a:t>3.5 BP: Magic Shop (1)</a:t>
          </a:r>
          <a:br>
            <a:rPr lang="en-GB"/>
          </a:br>
          <a:r>
            <a:rPr lang="en-GB"/>
            <a:t>2 BP: Library</a:t>
          </a:r>
          <a:br>
            <a:rPr lang="en-GB"/>
          </a:br>
          <a:r>
            <a:rPr lang="en-GB"/>
            <a:t>2 BP: Magical Street Lights</a:t>
          </a:r>
          <a:br>
            <a:rPr lang="en-GB"/>
          </a:br>
          <a:r>
            <a:rPr lang="en-GB"/>
            <a:t>0 BP: Public School (Three Ladies)</a:t>
          </a:r>
          <a:br>
            <a:rPr lang="en-GB"/>
          </a:br>
          <a:r>
            <a:rPr lang="en-GB"/>
            <a:t>0 BP: Upgrade Components Shop to Magical Services (Sejana)</a:t>
          </a:r>
        </a:p>
        <a:p>
          <a:endParaRPr lang="en-GB"/>
        </a:p>
        <a:p>
          <a:r>
            <a:rPr lang="en-GB"/>
            <a:t>Holy</a:t>
          </a:r>
          <a:r>
            <a:rPr lang="en-GB" baseline="0"/>
            <a:t> House (Abadar) in merchant.</a:t>
          </a:r>
          <a:endParaRPr lang="en-GB"/>
        </a:p>
        <a:p>
          <a:r>
            <a:rPr lang="en-GB"/>
            <a:t>  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261674</xdr:colOff>
      <xdr:row>7</xdr:row>
      <xdr:rowOff>10467</xdr:rowOff>
    </xdr:from>
    <xdr:to>
      <xdr:col>29</xdr:col>
      <xdr:colOff>251207</xdr:colOff>
      <xdr:row>12</xdr:row>
      <xdr:rowOff>136072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6380905" y="1413049"/>
          <a:ext cx="1810797" cy="10990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rgbClr val="FF0000"/>
              </a:solidFill>
            </a:rPr>
            <a:t>Check debts to :</a:t>
          </a:r>
        </a:p>
        <a:p>
          <a:pPr lvl="0"/>
          <a:r>
            <a:rPr lang="en-GB" sz="1600"/>
            <a:t>1) Bank of Tusk</a:t>
          </a:r>
        </a:p>
        <a:p>
          <a:pPr lvl="0"/>
          <a:r>
            <a:rPr lang="en-GB" sz="1600"/>
            <a:t>2) Bank of Restov</a:t>
          </a:r>
        </a:p>
      </xdr:txBody>
    </xdr:sp>
    <xdr:clientData/>
  </xdr:twoCellAnchor>
  <xdr:twoCellAnchor>
    <xdr:from>
      <xdr:col>26</xdr:col>
      <xdr:colOff>573398</xdr:colOff>
      <xdr:row>18</xdr:row>
      <xdr:rowOff>157507</xdr:rowOff>
    </xdr:from>
    <xdr:to>
      <xdr:col>32</xdr:col>
      <xdr:colOff>531530</xdr:colOff>
      <xdr:row>58</xdr:row>
      <xdr:rowOff>151981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CD9543-6D33-4307-BFE2-4D83D0AD83F1}"/>
            </a:ext>
          </a:extLst>
        </xdr:cNvPr>
        <xdr:cNvSpPr txBox="1"/>
      </xdr:nvSpPr>
      <xdr:spPr>
        <a:xfrm>
          <a:off x="17119684" y="3640936"/>
          <a:ext cx="3681046" cy="76253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4718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25.4 bp to spend</a:t>
          </a:r>
        </a:p>
        <a:p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/>
            <a:t>Feyfalls - district 1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  District Walls (1L, 1S)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   Keeler (3SE)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   Armed Keeler (2SE, 1D)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Feyfalls - district 2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1,5 Shipping Office (1E)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   Warehouse (1E)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Town Base (+1SE)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-1,1 Adoven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Shipping Office (1E)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Warehouse (1E)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Town Base (+1SE)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Whiterun - district 1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   District Walls (1L, 1S)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   Paved Streets (2L, 2S)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Mansion Upgrade (+1L)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   Keeler (3SE)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   Armed Keeler (2SE, 1D)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Whiterun - district 2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   New District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1,5 Shipping Office (1E)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   Warehouse (1E)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Town Base (+1SE)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   Baracks (1S, 2D)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/>
        </a:p>
        <a:p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680357</xdr:colOff>
      <xdr:row>38</xdr:row>
      <xdr:rowOff>94203</xdr:rowOff>
    </xdr:from>
    <xdr:to>
      <xdr:col>12</xdr:col>
      <xdr:colOff>282610</xdr:colOff>
      <xdr:row>40</xdr:row>
      <xdr:rowOff>73270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4A55AB-B543-416E-92C5-637CBCCB6E63}"/>
            </a:ext>
          </a:extLst>
        </xdr:cNvPr>
        <xdr:cNvSpPr txBox="1"/>
      </xdr:nvSpPr>
      <xdr:spPr>
        <a:xfrm>
          <a:off x="6960577" y="5526593"/>
          <a:ext cx="2857500" cy="366347"/>
        </a:xfrm>
        <a:prstGeom prst="rect">
          <a:avLst/>
        </a:prstGeom>
        <a:solidFill>
          <a:srgbClr val="99FFCC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800" b="1"/>
            <a:t>1x Building Plots left.</a:t>
          </a:r>
        </a:p>
      </xdr:txBody>
    </xdr:sp>
    <xdr:clientData/>
  </xdr:twoCellAnchor>
  <xdr:twoCellAnchor>
    <xdr:from>
      <xdr:col>8</xdr:col>
      <xdr:colOff>293077</xdr:colOff>
      <xdr:row>19</xdr:row>
      <xdr:rowOff>188407</xdr:rowOff>
    </xdr:from>
    <xdr:to>
      <xdr:col>12</xdr:col>
      <xdr:colOff>136071</xdr:colOff>
      <xdr:row>23</xdr:row>
      <xdr:rowOff>104670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E655A89-6EC3-4A56-94CB-15BB4B9845ED}"/>
            </a:ext>
          </a:extLst>
        </xdr:cNvPr>
        <xdr:cNvSpPr txBox="1"/>
      </xdr:nvSpPr>
      <xdr:spPr>
        <a:xfrm>
          <a:off x="6573297" y="4050742"/>
          <a:ext cx="3098241" cy="690824"/>
        </a:xfrm>
        <a:prstGeom prst="rect">
          <a:avLst/>
        </a:prstGeom>
        <a:solidFill>
          <a:srgbClr val="99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800" b="1">
              <a:solidFill>
                <a:schemeClr val="dk1"/>
              </a:solidFill>
              <a:latin typeface="+mn-lt"/>
              <a:ea typeface="+mn-ea"/>
              <a:cs typeface="+mn-cs"/>
            </a:rPr>
            <a:t>Town</a:t>
          </a:r>
        </a:p>
      </xdr:txBody>
    </xdr:sp>
    <xdr:clientData/>
  </xdr:twoCellAnchor>
  <xdr:twoCellAnchor>
    <xdr:from>
      <xdr:col>0</xdr:col>
      <xdr:colOff>142352</xdr:colOff>
      <xdr:row>9</xdr:row>
      <xdr:rowOff>41868</xdr:rowOff>
    </xdr:from>
    <xdr:to>
      <xdr:col>3</xdr:col>
      <xdr:colOff>276330</xdr:colOff>
      <xdr:row>12</xdr:row>
      <xdr:rowOff>33495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40227C-F972-4D6C-B221-D0FA5144EAAE}"/>
            </a:ext>
          </a:extLst>
        </xdr:cNvPr>
        <xdr:cNvSpPr txBox="1"/>
      </xdr:nvSpPr>
      <xdr:spPr>
        <a:xfrm>
          <a:off x="142352" y="1783582"/>
          <a:ext cx="2905648" cy="6447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Managed as part of Midmarch Province</a:t>
          </a:r>
        </a:p>
      </xdr:txBody>
    </xdr:sp>
    <xdr:clientData/>
  </xdr:twoCellAnchor>
  <xdr:twoCellAnchor>
    <xdr:from>
      <xdr:col>9</xdr:col>
      <xdr:colOff>306559</xdr:colOff>
      <xdr:row>46</xdr:row>
      <xdr:rowOff>92111</xdr:rowOff>
    </xdr:from>
    <xdr:to>
      <xdr:col>18</xdr:col>
      <xdr:colOff>1549121</xdr:colOff>
      <xdr:row>57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B75E1C-C3FE-40F4-925B-28DEC2504B1E}"/>
            </a:ext>
          </a:extLst>
        </xdr:cNvPr>
        <xdr:cNvSpPr txBox="1"/>
      </xdr:nvSpPr>
      <xdr:spPr>
        <a:xfrm>
          <a:off x="7742339" y="8968155"/>
          <a:ext cx="5203287" cy="193430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412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 great Farm in Litwin Cove might grow Flax as a cash crop, and become the center of Linen prodiction in the Southern Region.  Litwin cove is (currently) the only settlement that meets the criteria (Part Hills/plains</a:t>
          </a:r>
          <a:r>
            <a:rPr lang="en-GB" sz="1100" baseline="0"/>
            <a:t> and part swamp)</a:t>
          </a:r>
          <a:endParaRPr lang="en-GB" sz="1100"/>
        </a:p>
        <a:p>
          <a:endParaRPr lang="en-GB" sz="1100"/>
        </a:p>
        <a:p>
          <a:pPr algn="l"/>
          <a:r>
            <a:rPr lang="en-GB" sz="1100"/>
            <a:t>Suitable</a:t>
          </a:r>
          <a:r>
            <a:rPr lang="en-GB" sz="1100" baseline="0"/>
            <a:t> upgrades would be Oil Press (a craft workshop)  Fibre crafter (Retts the stalks to make fibre)  Thread maker (uses the fibres to make Linen thread) Weavers to make linen cloth.</a:t>
          </a:r>
        </a:p>
        <a:p>
          <a:pPr algn="l"/>
          <a:endParaRPr lang="en-GB" sz="1100" baseline="0"/>
        </a:p>
        <a:p>
          <a:pPr algn="l"/>
          <a:r>
            <a:rPr lang="en-GB" sz="1100" baseline="0"/>
            <a:t>There is the potential to wrap up a whole industry!  Hex 7 &amp; 17  would make an expansion area.  You could have  community workshops for all of the prep processes -  where you automatically share the benefits with the locals.</a:t>
          </a:r>
          <a:endParaRPr lang="en-GB" sz="1100"/>
        </a:p>
      </xdr:txBody>
    </xdr:sp>
    <xdr:clientData/>
  </xdr:twoCellAnchor>
  <xdr:twoCellAnchor>
    <xdr:from>
      <xdr:col>26</xdr:col>
      <xdr:colOff>309824</xdr:colOff>
      <xdr:row>5</xdr:row>
      <xdr:rowOff>167473</xdr:rowOff>
    </xdr:from>
    <xdr:to>
      <xdr:col>31</xdr:col>
      <xdr:colOff>33494</xdr:colOff>
      <xdr:row>25</xdr:row>
      <xdr:rowOff>58616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D098EFF-F8E0-4E77-B4B5-80F0C309074D}"/>
            </a:ext>
          </a:extLst>
        </xdr:cNvPr>
        <xdr:cNvSpPr txBox="1"/>
      </xdr:nvSpPr>
      <xdr:spPr>
        <a:xfrm>
          <a:off x="16646769" y="1130440"/>
          <a:ext cx="2780044" cy="381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Minia &amp; Maple have 2 bp to spend.    Best solution mught be a farm @ Litwin Cove (Econ+1, Loy+1, Stab+1)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Verna - Community Brewery (with donation from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Henry)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10702</xdr:colOff>
      <xdr:row>6</xdr:row>
      <xdr:rowOff>203343</xdr:rowOff>
    </xdr:from>
    <xdr:to>
      <xdr:col>31</xdr:col>
      <xdr:colOff>32107</xdr:colOff>
      <xdr:row>33</xdr:row>
      <xdr:rowOff>149831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90EB07F-4361-4483-9FC1-1A6BE5D651F3}"/>
            </a:ext>
          </a:extLst>
        </xdr:cNvPr>
        <xdr:cNvSpPr txBox="1"/>
      </xdr:nvSpPr>
      <xdr:spPr>
        <a:xfrm>
          <a:off x="16845337" y="1434101"/>
          <a:ext cx="3028736" cy="53404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4716 - spending</a:t>
          </a:r>
        </a:p>
        <a:p>
          <a:endParaRPr lang="en-GB" sz="1100"/>
        </a:p>
        <a:p>
          <a:r>
            <a:rPr lang="en-GB" sz="1100"/>
            <a:t>Town 2.8</a:t>
          </a:r>
        </a:p>
        <a:p>
          <a:r>
            <a:rPr lang="en-GB" sz="1100"/>
            <a:t>Leversons</a:t>
          </a:r>
          <a:r>
            <a:rPr lang="en-GB" sz="1100" baseline="0"/>
            <a:t> 3</a:t>
          </a:r>
        </a:p>
        <a:p>
          <a:endParaRPr lang="en-GB" sz="1100" baseline="0"/>
        </a:p>
        <a:p>
          <a:r>
            <a:rPr lang="en-GB" sz="1100" baseline="0"/>
            <a:t>Toiwn Spend</a:t>
          </a:r>
        </a:p>
        <a:p>
          <a:r>
            <a:rPr lang="en-GB" sz="1100" baseline="0"/>
            <a:t> District wal  (1bp)</a:t>
          </a:r>
        </a:p>
        <a:p>
          <a:endParaRPr lang="en-GB" sz="1100" baseline="0"/>
        </a:p>
        <a:p>
          <a:r>
            <a:rPr lang="en-GB" sz="1100" baseline="0"/>
            <a:t>1bp tp Newgate</a:t>
          </a:r>
        </a:p>
        <a:p>
          <a:endParaRPr lang="en-GB" sz="1100" baseline="0"/>
        </a:p>
        <a:p>
          <a:r>
            <a:rPr lang="en-GB" sz="1100"/>
            <a:t>0.8 banked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Oleg &amp; Svetlana</a:t>
          </a:r>
        </a:p>
        <a:p>
          <a:endParaRPr lang="en-GB" sz="1100"/>
        </a:p>
        <a:p>
          <a:r>
            <a:rPr lang="en-GB" sz="1100"/>
            <a:t>New</a:t>
          </a:r>
          <a:r>
            <a:rPr lang="en-GB" sz="1100" baseline="0"/>
            <a:t> farm = 2</a:t>
          </a:r>
        </a:p>
        <a:p>
          <a:r>
            <a:rPr lang="en-GB" sz="1100" baseline="0"/>
            <a:t>Upgrade old farm = 1</a:t>
          </a:r>
        </a:p>
        <a:p>
          <a:endParaRPr lang="en-GB" sz="1100" baseline="0"/>
        </a:p>
        <a:p>
          <a:r>
            <a:rPr lang="en-GB" sz="1100" baseline="0"/>
            <a:t>Spent up.</a:t>
          </a:r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/>
            <a:t>1x unit of troops redeployed to Wyvern Bridge</a:t>
          </a:r>
        </a:p>
        <a:p>
          <a:r>
            <a:rPr lang="en-GB" sz="2000" b="1" baseline="0">
              <a:solidFill>
                <a:srgbClr val="FF0000"/>
              </a:solidFill>
            </a:rPr>
            <a:t>4716 done</a:t>
          </a:r>
        </a:p>
        <a:p>
          <a:endParaRPr lang="en-GB" sz="2000" b="1" baseline="0">
            <a:solidFill>
              <a:srgbClr val="FF0000"/>
            </a:solidFill>
          </a:endParaRPr>
        </a:p>
        <a:p>
          <a:r>
            <a:rPr lang="en-GB" sz="2000" b="1" baseline="0">
              <a:solidFill>
                <a:srgbClr val="FF0000"/>
              </a:solidFill>
            </a:rPr>
            <a:t>See central Note</a:t>
          </a:r>
          <a:endParaRPr lang="en-GB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614680</xdr:colOff>
      <xdr:row>18</xdr:row>
      <xdr:rowOff>58420</xdr:rowOff>
    </xdr:from>
    <xdr:to>
      <xdr:col>33</xdr:col>
      <xdr:colOff>604520</xdr:colOff>
      <xdr:row>44</xdr:row>
      <xdr:rowOff>65852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3E11B0-84CF-4137-9D71-BB69AEF58D7C}"/>
            </a:ext>
          </a:extLst>
        </xdr:cNvPr>
        <xdr:cNvSpPr txBox="1"/>
      </xdr:nvSpPr>
      <xdr:spPr>
        <a:xfrm>
          <a:off x="17924310" y="3435679"/>
          <a:ext cx="4336062" cy="478639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22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1)</a:t>
          </a:r>
          <a:r>
            <a:rPr lang="en-GB" sz="1100" baseline="0"/>
            <a:t> </a:t>
          </a:r>
          <a:r>
            <a:rPr lang="en-GB" sz="1100"/>
            <a:t>Fortified Villa becomes home to Yolen</a:t>
          </a:r>
          <a:r>
            <a:rPr lang="en-GB" sz="1100" baseline="0"/>
            <a:t>  as head of the guard</a:t>
          </a:r>
          <a:endParaRPr lang="en-GB" sz="1100"/>
        </a:p>
        <a:p>
          <a:r>
            <a:rPr lang="en-GB" sz="1100"/>
            <a:t>2) Build mansion for  Pemar and Mia (Homton)  (Loy+1, Stab+1)</a:t>
          </a:r>
        </a:p>
        <a:p>
          <a:r>
            <a:rPr lang="en-GB" sz="1100"/>
            <a:t>3) Build a Town Hall (Central)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(Loy+1, Stab+1)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Build a stables for Yolen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Pharasma</a:t>
          </a: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 _Holy House &gt; Friary  (1.5bp) (+1 spec, +1 Loy)</a:t>
          </a:r>
          <a:endParaRPr lang="en-GB">
            <a:effectLst/>
          </a:endParaRP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 _Crypt  (1bp)  (Loy +1, Stab +1)</a:t>
          </a:r>
        </a:p>
        <a:p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 -   Econ +2, Loy +4, Stab +3.</a:t>
          </a:r>
        </a:p>
        <a:p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Abadar Chapel &gt; Temple 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+1 special, +1 loyalty, +1 stability.</a:t>
          </a:r>
          <a:endParaRPr lang="en-GB">
            <a:effectLst/>
          </a:endParaRPr>
        </a:p>
        <a:p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Adoven - </a:t>
          </a:r>
          <a:r>
            <a:rPr lang="en-GB"/>
            <a:t>Shipping Office and Warehouse (+2 Econ) </a:t>
          </a:r>
        </a:p>
        <a:p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Small  Boat Yeard (+1 Econ)</a:t>
          </a:r>
        </a:p>
        <a:p>
          <a:endParaRPr lang="en-GB" sz="110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Watchtower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Landard (1bp)  (paid by Province)</a:t>
          </a:r>
          <a:endParaRPr lang="en-GB">
            <a:effectLst/>
          </a:endParaRPr>
        </a:p>
        <a:p>
          <a:endParaRPr lang="en-GB" sz="110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New District (1bp)</a:t>
          </a: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Exotic Glass works for Pemar</a:t>
          </a: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all spent.</a:t>
          </a:r>
          <a:endParaRPr lang="en-GB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742950</xdr:colOff>
      <xdr:row>23</xdr:row>
      <xdr:rowOff>161925</xdr:rowOff>
    </xdr:from>
    <xdr:to>
      <xdr:col>24</xdr:col>
      <xdr:colOff>228600</xdr:colOff>
      <xdr:row>27</xdr:row>
      <xdr:rowOff>180974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1268075" y="4743450"/>
          <a:ext cx="3990975" cy="7905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businesses in the town</a:t>
          </a:r>
        </a:p>
        <a:p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47624</xdr:colOff>
      <xdr:row>23</xdr:row>
      <xdr:rowOff>152399</xdr:rowOff>
    </xdr:from>
    <xdr:to>
      <xdr:col>14</xdr:col>
      <xdr:colOff>323849</xdr:colOff>
      <xdr:row>28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5381624" y="4733924"/>
          <a:ext cx="4210050" cy="9525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the infra-structure and surroundings hexes</a:t>
          </a:r>
        </a:p>
        <a:p>
          <a:endParaRPr lang="en-GB" sz="1100">
            <a:solidFill>
              <a:srgbClr val="FF0000"/>
            </a:solidFill>
          </a:endParaRPr>
        </a:p>
        <a:p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9525</xdr:colOff>
      <xdr:row>7</xdr:row>
      <xdr:rowOff>190500</xdr:rowOff>
    </xdr:from>
    <xdr:to>
      <xdr:col>32</xdr:col>
      <xdr:colOff>333375</xdr:colOff>
      <xdr:row>30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138F33-209B-4893-B2B7-9EE9A4B1EEEA}"/>
            </a:ext>
          </a:extLst>
        </xdr:cNvPr>
        <xdr:cNvSpPr txBox="1"/>
      </xdr:nvSpPr>
      <xdr:spPr>
        <a:xfrm>
          <a:off x="16697325" y="1609725"/>
          <a:ext cx="3371850" cy="449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es-Houses-%20Jun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leMaistre"/>
      <sheetName val="House Solanus"/>
      <sheetName val="House Aeris"/>
      <sheetName val="The Roths"/>
    </sheetNames>
    <sheetDataSet>
      <sheetData sheetId="0"/>
      <sheetData sheetId="1"/>
      <sheetData sheetId="2">
        <row r="3">
          <cell r="I3">
            <v>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0.34998626667073579"/>
  </sheetPr>
  <dimension ref="A1:AE94"/>
  <sheetViews>
    <sheetView topLeftCell="A49" zoomScale="52" zoomScaleNormal="52" workbookViewId="0">
      <selection activeCell="Q105" sqref="Q105"/>
    </sheetView>
  </sheetViews>
  <sheetFormatPr defaultRowHeight="14.4" x14ac:dyDescent="0.3"/>
  <cols>
    <col min="2" max="2" width="12.88671875" customWidth="1"/>
    <col min="3" max="3" width="22.5546875" customWidth="1"/>
    <col min="6" max="6" width="11.33203125" customWidth="1"/>
    <col min="7" max="7" width="12.6640625" customWidth="1"/>
    <col min="8" max="8" width="6.88671875" customWidth="1"/>
    <col min="9" max="9" width="22" customWidth="1"/>
    <col min="10" max="10" width="6.6640625" customWidth="1"/>
    <col min="11" max="13" width="5.6640625" customWidth="1"/>
    <col min="14" max="14" width="8" customWidth="1"/>
    <col min="15" max="15" width="13.44140625" customWidth="1"/>
    <col min="16" max="16" width="5.5546875" customWidth="1"/>
    <col min="17" max="17" width="25.33203125" customWidth="1"/>
    <col min="18" max="18" width="24.33203125" customWidth="1"/>
    <col min="19" max="19" width="5.6640625" style="141" customWidth="1"/>
    <col min="20" max="22" width="5.6640625" customWidth="1"/>
    <col min="23" max="23" width="5" customWidth="1"/>
    <col min="24" max="24" width="6.44140625" customWidth="1"/>
  </cols>
  <sheetData>
    <row r="1" spans="1:25" s="241" customFormat="1" ht="15" thickBot="1" x14ac:dyDescent="0.35">
      <c r="L1" s="404"/>
      <c r="M1" s="405"/>
      <c r="N1" s="404"/>
      <c r="S1" s="141"/>
    </row>
    <row r="2" spans="1:25" s="241" customFormat="1" ht="15" thickTop="1" x14ac:dyDescent="0.3">
      <c r="S2" s="141"/>
    </row>
    <row r="3" spans="1:25" s="241" customFormat="1" x14ac:dyDescent="0.3">
      <c r="M3" s="403"/>
      <c r="S3" s="141"/>
    </row>
    <row r="4" spans="1:25" x14ac:dyDescent="0.3">
      <c r="M4" s="403"/>
    </row>
    <row r="5" spans="1:25" x14ac:dyDescent="0.3">
      <c r="C5" t="s">
        <v>28</v>
      </c>
      <c r="D5">
        <f>D50</f>
        <v>23.75</v>
      </c>
      <c r="I5" s="10" t="s">
        <v>33</v>
      </c>
      <c r="J5" s="8">
        <f t="shared" ref="J5:O5" si="0">J9+S9</f>
        <v>11</v>
      </c>
      <c r="K5" s="8">
        <f>K9+T9</f>
        <v>41.5</v>
      </c>
      <c r="L5" s="8">
        <f t="shared" si="0"/>
        <v>43</v>
      </c>
      <c r="M5" s="8">
        <f t="shared" si="0"/>
        <v>42</v>
      </c>
      <c r="N5" s="8">
        <f t="shared" si="0"/>
        <v>31</v>
      </c>
      <c r="O5" s="8">
        <f t="shared" si="0"/>
        <v>1</v>
      </c>
      <c r="P5" s="8"/>
      <c r="S5"/>
      <c r="T5" t="s">
        <v>229</v>
      </c>
      <c r="Y5">
        <v>0.2</v>
      </c>
    </row>
    <row r="6" spans="1:25" x14ac:dyDescent="0.3">
      <c r="C6" t="s">
        <v>75</v>
      </c>
      <c r="S6"/>
      <c r="T6" t="s">
        <v>227</v>
      </c>
      <c r="Y6">
        <v>0.5</v>
      </c>
    </row>
    <row r="7" spans="1:25" x14ac:dyDescent="0.3">
      <c r="A7" s="364">
        <f>SUM(A10:A13)</f>
        <v>23.75</v>
      </c>
      <c r="G7" s="2"/>
      <c r="H7" s="2" t="s">
        <v>39</v>
      </c>
      <c r="I7" s="13" t="s">
        <v>102</v>
      </c>
      <c r="J7" s="13"/>
      <c r="K7" s="2"/>
      <c r="R7" s="14" t="s">
        <v>11</v>
      </c>
      <c r="S7"/>
    </row>
    <row r="8" spans="1:25" ht="15" thickBot="1" x14ac:dyDescent="0.35">
      <c r="B8" t="s">
        <v>0</v>
      </c>
      <c r="C8" t="s">
        <v>4</v>
      </c>
      <c r="D8" t="s">
        <v>5</v>
      </c>
      <c r="F8" s="26" t="s">
        <v>65</v>
      </c>
      <c r="G8" s="2" t="s">
        <v>31</v>
      </c>
      <c r="H8" s="2" t="s">
        <v>38</v>
      </c>
      <c r="I8" s="2" t="s">
        <v>8</v>
      </c>
      <c r="J8" s="13" t="s">
        <v>228</v>
      </c>
      <c r="K8" s="3" t="s">
        <v>204</v>
      </c>
      <c r="L8" s="3" t="s">
        <v>100</v>
      </c>
      <c r="M8" s="3" t="s">
        <v>205</v>
      </c>
      <c r="N8" s="3" t="s">
        <v>206</v>
      </c>
      <c r="O8" s="3" t="s">
        <v>56</v>
      </c>
      <c r="P8" s="102" t="s">
        <v>69</v>
      </c>
      <c r="R8" s="4" t="s">
        <v>8</v>
      </c>
      <c r="S8" s="5" t="s">
        <v>228</v>
      </c>
      <c r="T8" s="5" t="s">
        <v>204</v>
      </c>
      <c r="U8" s="5" t="s">
        <v>100</v>
      </c>
      <c r="V8" s="5" t="s">
        <v>205</v>
      </c>
      <c r="W8" s="5" t="s">
        <v>206</v>
      </c>
      <c r="X8" s="5" t="s">
        <v>236</v>
      </c>
      <c r="Y8" s="5" t="s">
        <v>27</v>
      </c>
    </row>
    <row r="9" spans="1:25" ht="15" thickBot="1" x14ac:dyDescent="0.35">
      <c r="A9" s="139" t="s">
        <v>226</v>
      </c>
      <c r="F9" s="106"/>
      <c r="G9" s="144"/>
      <c r="H9" s="110"/>
      <c r="I9" s="145" t="s">
        <v>33</v>
      </c>
      <c r="J9" s="110">
        <f t="shared" ref="J9:O9" si="1">SUM(J10:J89)</f>
        <v>7</v>
      </c>
      <c r="K9" s="110">
        <f t="shared" si="1"/>
        <v>23.5</v>
      </c>
      <c r="L9" s="110">
        <f t="shared" si="1"/>
        <v>21</v>
      </c>
      <c r="M9" s="110">
        <f t="shared" si="1"/>
        <v>20</v>
      </c>
      <c r="N9" s="110">
        <f t="shared" si="1"/>
        <v>26</v>
      </c>
      <c r="O9" s="110">
        <f t="shared" si="1"/>
        <v>1</v>
      </c>
      <c r="P9" s="146"/>
      <c r="Q9" s="110"/>
      <c r="R9" s="110"/>
      <c r="S9" s="110">
        <f t="shared" ref="S9:X9" si="2">SUM(S10:S89)</f>
        <v>4</v>
      </c>
      <c r="T9" s="110">
        <f t="shared" si="2"/>
        <v>18</v>
      </c>
      <c r="U9" s="110">
        <f t="shared" si="2"/>
        <v>22</v>
      </c>
      <c r="V9" s="110">
        <f t="shared" si="2"/>
        <v>22</v>
      </c>
      <c r="W9" s="110">
        <f t="shared" si="2"/>
        <v>5</v>
      </c>
      <c r="X9" s="110">
        <f t="shared" si="2"/>
        <v>0</v>
      </c>
      <c r="Y9" s="147"/>
    </row>
    <row r="10" spans="1:25" ht="15" thickBot="1" x14ac:dyDescent="0.35">
      <c r="A10" s="138">
        <f>($D$5-1.5)/2</f>
        <v>11.125</v>
      </c>
      <c r="B10" t="s">
        <v>1</v>
      </c>
      <c r="C10" t="s">
        <v>79</v>
      </c>
      <c r="D10">
        <v>18</v>
      </c>
      <c r="F10" s="135" t="s">
        <v>432</v>
      </c>
      <c r="G10" s="148" t="s">
        <v>3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50"/>
    </row>
    <row r="11" spans="1:25" ht="15" thickBot="1" x14ac:dyDescent="0.35">
      <c r="A11" s="138">
        <f>($D$5-1.5)/4</f>
        <v>5.5625</v>
      </c>
      <c r="B11" t="s">
        <v>29</v>
      </c>
      <c r="C11" t="s">
        <v>80</v>
      </c>
      <c r="D11">
        <v>13</v>
      </c>
      <c r="F11" s="124" t="s">
        <v>69</v>
      </c>
      <c r="G11" s="18" t="s">
        <v>113</v>
      </c>
      <c r="H11" s="21" t="s">
        <v>383</v>
      </c>
      <c r="I11" s="274"/>
      <c r="J11" s="274"/>
      <c r="K11" s="274"/>
      <c r="L11" s="274"/>
      <c r="M11" s="274"/>
      <c r="N11" s="274">
        <f>Oston!N2</f>
        <v>3</v>
      </c>
      <c r="O11" s="274"/>
      <c r="P11" s="73">
        <f>Oston!H5</f>
        <v>24</v>
      </c>
      <c r="Q11" s="274"/>
      <c r="R11" s="274"/>
      <c r="S11" s="274"/>
      <c r="T11" s="274"/>
      <c r="U11" s="274"/>
      <c r="V11" s="274"/>
      <c r="W11" s="272"/>
      <c r="X11" s="15"/>
      <c r="Y11" s="15">
        <f>SUM(S11:T11)*$Y$6</f>
        <v>0</v>
      </c>
    </row>
    <row r="12" spans="1:25" ht="15" thickBot="1" x14ac:dyDescent="0.35">
      <c r="A12" s="138">
        <f>($D$5-1.5)/4</f>
        <v>5.5625</v>
      </c>
      <c r="B12" t="s">
        <v>30</v>
      </c>
      <c r="C12" t="s">
        <v>81</v>
      </c>
      <c r="D12">
        <v>16</v>
      </c>
      <c r="F12" s="124">
        <f>SUM(P11:P86)</f>
        <v>173</v>
      </c>
      <c r="G12" s="20" t="s">
        <v>369</v>
      </c>
      <c r="H12" s="21" t="s">
        <v>421</v>
      </c>
      <c r="I12" s="253"/>
      <c r="J12" s="253"/>
      <c r="K12" s="253"/>
      <c r="L12" s="253"/>
      <c r="M12" s="253"/>
      <c r="N12" s="253">
        <f>Tatzleford!N2</f>
        <v>5</v>
      </c>
      <c r="O12" s="253"/>
      <c r="P12" s="98">
        <f>Tatzleford!H5</f>
        <v>22</v>
      </c>
      <c r="Q12" s="253"/>
      <c r="R12" s="253"/>
      <c r="S12" s="253"/>
      <c r="T12" s="253"/>
      <c r="U12" s="253"/>
      <c r="V12" s="253"/>
      <c r="W12" s="254"/>
      <c r="X12" s="17"/>
      <c r="Y12" s="17">
        <f t="shared" ref="Y12:Y86" si="3">SUM(S12:T12)*$Y$6</f>
        <v>0</v>
      </c>
    </row>
    <row r="13" spans="1:25" ht="15" thickBot="1" x14ac:dyDescent="0.35">
      <c r="A13" s="138">
        <v>1.5</v>
      </c>
      <c r="B13" t="s">
        <v>2</v>
      </c>
      <c r="C13" t="s">
        <v>153</v>
      </c>
      <c r="D13">
        <v>0</v>
      </c>
      <c r="F13" s="124" t="s">
        <v>218</v>
      </c>
      <c r="G13" s="20" t="s">
        <v>358</v>
      </c>
      <c r="H13" s="21" t="s">
        <v>448</v>
      </c>
      <c r="I13" s="253"/>
      <c r="J13" s="253"/>
      <c r="K13" s="253"/>
      <c r="L13" s="253"/>
      <c r="M13" s="253"/>
      <c r="N13" s="253">
        <f>WyvernBridge!N2</f>
        <v>4</v>
      </c>
      <c r="O13" s="253">
        <f>WyvernBridge!P2</f>
        <v>0</v>
      </c>
      <c r="P13" s="98">
        <f>WyvernBridge!H5</f>
        <v>45</v>
      </c>
      <c r="Q13" s="253"/>
      <c r="R13" s="253"/>
      <c r="S13" s="253"/>
      <c r="T13" s="253"/>
      <c r="U13" s="253"/>
      <c r="V13" s="253"/>
      <c r="W13" s="254"/>
      <c r="X13" s="17"/>
      <c r="Y13" s="17">
        <f t="shared" si="3"/>
        <v>0</v>
      </c>
    </row>
    <row r="14" spans="1:25" ht="15" thickBot="1" x14ac:dyDescent="0.35">
      <c r="B14" t="s">
        <v>55</v>
      </c>
      <c r="C14" t="s">
        <v>6</v>
      </c>
      <c r="D14">
        <v>0</v>
      </c>
      <c r="F14" s="124">
        <f>F12*50</f>
        <v>8650</v>
      </c>
      <c r="G14" s="20" t="s">
        <v>370</v>
      </c>
      <c r="H14" s="21" t="s">
        <v>420</v>
      </c>
      <c r="I14" s="253"/>
      <c r="J14" s="253">
        <f>Dosilac!J2</f>
        <v>6</v>
      </c>
      <c r="K14" s="253">
        <f>Dosilac!K2</f>
        <v>9</v>
      </c>
      <c r="L14" s="253">
        <f>Dosilac!L2</f>
        <v>11</v>
      </c>
      <c r="M14" s="253">
        <f>Dosilac!M2</f>
        <v>9</v>
      </c>
      <c r="N14" s="253">
        <f>Dosilac!N2</f>
        <v>2</v>
      </c>
      <c r="O14" s="253"/>
      <c r="P14" s="98">
        <f>Dosilac!H5</f>
        <v>19</v>
      </c>
      <c r="Q14" s="253"/>
      <c r="R14" s="253"/>
      <c r="S14" s="253"/>
      <c r="T14" s="253"/>
      <c r="U14" s="253"/>
      <c r="V14" s="253"/>
      <c r="W14" s="254"/>
      <c r="X14" s="17"/>
      <c r="Y14" s="17">
        <f t="shared" si="3"/>
        <v>0</v>
      </c>
    </row>
    <row r="15" spans="1:25" ht="15" thickBot="1" x14ac:dyDescent="0.35">
      <c r="B15" t="s">
        <v>82</v>
      </c>
      <c r="F15" s="125"/>
      <c r="G15" s="19"/>
      <c r="H15" s="463"/>
      <c r="I15" s="261"/>
      <c r="J15" s="261"/>
      <c r="K15" s="261"/>
      <c r="L15" s="261"/>
      <c r="M15" s="261"/>
      <c r="N15" s="261"/>
      <c r="O15" s="261"/>
      <c r="P15" s="100"/>
      <c r="Q15" s="261"/>
      <c r="R15" s="261"/>
      <c r="S15" s="261"/>
      <c r="T15" s="261"/>
      <c r="U15" s="261"/>
      <c r="V15" s="261"/>
      <c r="W15" s="262"/>
      <c r="X15" s="16"/>
      <c r="Y15" s="16">
        <f t="shared" si="3"/>
        <v>0</v>
      </c>
    </row>
    <row r="16" spans="1:25" ht="15" thickBot="1" x14ac:dyDescent="0.35">
      <c r="C16" s="6" t="s">
        <v>7</v>
      </c>
      <c r="D16" s="8">
        <f>SUM(D10:D15)</f>
        <v>47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</row>
    <row r="17" spans="1:31" ht="15" thickTop="1" x14ac:dyDescent="0.3">
      <c r="F17" s="107"/>
      <c r="G17" s="28"/>
      <c r="H17" s="86"/>
      <c r="I17" s="86"/>
      <c r="J17" s="86"/>
      <c r="K17" s="86"/>
      <c r="L17" s="86"/>
      <c r="M17" s="86"/>
      <c r="N17" s="86"/>
      <c r="O17" s="86"/>
      <c r="P17" s="73"/>
      <c r="Q17" s="86"/>
      <c r="R17" s="86"/>
      <c r="S17" s="86"/>
      <c r="T17" s="86"/>
      <c r="U17" s="86"/>
      <c r="V17" s="86"/>
      <c r="W17" s="15"/>
      <c r="X17" s="15"/>
      <c r="Y17" s="15">
        <f t="shared" si="3"/>
        <v>0</v>
      </c>
    </row>
    <row r="18" spans="1:31" ht="15" thickBot="1" x14ac:dyDescent="0.35">
      <c r="A18" s="1"/>
      <c r="B18" s="1"/>
      <c r="C18" s="1"/>
      <c r="D18" s="1"/>
      <c r="E18" s="105"/>
      <c r="F18" s="108"/>
      <c r="G18" s="46" t="s">
        <v>66</v>
      </c>
      <c r="H18" s="47"/>
      <c r="I18" s="88"/>
      <c r="J18" s="88"/>
      <c r="K18" s="88"/>
      <c r="L18" s="88"/>
      <c r="M18" s="88"/>
      <c r="N18" s="88"/>
      <c r="O18" s="88"/>
      <c r="P18" s="100"/>
      <c r="Q18" s="88"/>
      <c r="R18" s="88"/>
      <c r="S18" s="88"/>
      <c r="T18" s="88"/>
      <c r="U18" s="88"/>
      <c r="V18" s="88"/>
      <c r="W18" s="16"/>
      <c r="X18" s="16"/>
      <c r="Y18" s="16">
        <f t="shared" si="3"/>
        <v>0</v>
      </c>
    </row>
    <row r="19" spans="1:31" x14ac:dyDescent="0.3">
      <c r="F19" s="124" t="s">
        <v>69</v>
      </c>
      <c r="G19" s="18" t="s">
        <v>35</v>
      </c>
      <c r="H19" s="21" t="s">
        <v>37</v>
      </c>
      <c r="I19" s="28" t="s">
        <v>90</v>
      </c>
      <c r="J19" s="86"/>
      <c r="K19" s="86">
        <v>1</v>
      </c>
      <c r="L19" s="86">
        <v>1</v>
      </c>
      <c r="M19" s="86">
        <v>1</v>
      </c>
      <c r="N19" s="86">
        <v>2</v>
      </c>
      <c r="O19" s="86"/>
      <c r="P19" s="73">
        <v>2</v>
      </c>
      <c r="Q19" s="86" t="s">
        <v>67</v>
      </c>
      <c r="R19" s="86"/>
      <c r="S19" s="86"/>
      <c r="T19" s="86"/>
      <c r="U19" s="86"/>
      <c r="V19" s="86"/>
      <c r="W19" s="15"/>
      <c r="X19" s="15"/>
      <c r="Y19" s="15">
        <f t="shared" si="3"/>
        <v>0</v>
      </c>
    </row>
    <row r="20" spans="1:31" x14ac:dyDescent="0.3">
      <c r="A20" t="s">
        <v>19</v>
      </c>
      <c r="F20" s="124">
        <f>SUM(P19:P22)</f>
        <v>4</v>
      </c>
      <c r="G20" s="20" t="s">
        <v>36</v>
      </c>
      <c r="H20" s="23" t="s">
        <v>105</v>
      </c>
      <c r="I20" s="29" t="s">
        <v>9</v>
      </c>
      <c r="J20" s="87">
        <v>1</v>
      </c>
      <c r="K20" s="87"/>
      <c r="L20" s="87">
        <v>1</v>
      </c>
      <c r="M20" s="87">
        <v>1</v>
      </c>
      <c r="N20" s="87"/>
      <c r="O20" s="87"/>
      <c r="P20" s="98">
        <v>1</v>
      </c>
      <c r="Q20" s="87" t="s">
        <v>68</v>
      </c>
      <c r="R20" s="87"/>
      <c r="S20" s="87"/>
      <c r="T20" s="87"/>
      <c r="U20" s="87"/>
      <c r="V20" s="87"/>
      <c r="W20" s="17"/>
      <c r="X20" s="17"/>
      <c r="Y20" s="17">
        <f t="shared" si="3"/>
        <v>0</v>
      </c>
    </row>
    <row r="21" spans="1:31" x14ac:dyDescent="0.3">
      <c r="C21" t="s">
        <v>13</v>
      </c>
      <c r="D21" s="8">
        <f>(J9+K9)*Y6</f>
        <v>15.25</v>
      </c>
      <c r="F21" s="124" t="s">
        <v>218</v>
      </c>
      <c r="G21" s="20" t="s">
        <v>439</v>
      </c>
      <c r="H21" s="23" t="s">
        <v>442</v>
      </c>
      <c r="I21" s="35"/>
      <c r="J21" s="27"/>
      <c r="K21" s="87"/>
      <c r="L21" s="87"/>
      <c r="M21" s="87"/>
      <c r="N21" s="87"/>
      <c r="O21" s="87"/>
      <c r="P21" s="98">
        <v>1</v>
      </c>
      <c r="Q21" s="87" t="s">
        <v>195</v>
      </c>
      <c r="R21" s="35" t="s">
        <v>126</v>
      </c>
      <c r="S21" s="27"/>
      <c r="T21" s="253"/>
      <c r="U21" s="253">
        <v>1</v>
      </c>
      <c r="V21" s="253">
        <v>1</v>
      </c>
      <c r="W21" s="17"/>
      <c r="X21" s="17"/>
      <c r="Y21" s="17">
        <f t="shared" si="3"/>
        <v>0</v>
      </c>
    </row>
    <row r="22" spans="1:31" ht="15" thickBot="1" x14ac:dyDescent="0.35">
      <c r="D22" s="8"/>
      <c r="F22" s="125">
        <f>F20*50</f>
        <v>200</v>
      </c>
      <c r="G22" s="19" t="s">
        <v>70</v>
      </c>
      <c r="H22" s="22" t="s">
        <v>105</v>
      </c>
      <c r="I22" s="37"/>
      <c r="J22" s="38"/>
      <c r="K22" s="38"/>
      <c r="L22" s="38"/>
      <c r="M22" s="38"/>
      <c r="N22" s="38"/>
      <c r="O22" s="38">
        <v>1</v>
      </c>
      <c r="P22" s="101"/>
      <c r="Q22" s="88"/>
      <c r="R22" s="88"/>
      <c r="S22" s="88"/>
      <c r="T22" s="88"/>
      <c r="U22" s="88"/>
      <c r="V22" s="88"/>
      <c r="W22" s="16"/>
      <c r="X22" s="16"/>
      <c r="Y22" s="16">
        <f t="shared" si="3"/>
        <v>0</v>
      </c>
    </row>
    <row r="23" spans="1:31" ht="15" thickBot="1" x14ac:dyDescent="0.35">
      <c r="C23" t="s">
        <v>50</v>
      </c>
      <c r="D23" s="8"/>
      <c r="P23" s="99"/>
      <c r="S23"/>
    </row>
    <row r="24" spans="1:31" ht="15" thickBot="1" x14ac:dyDescent="0.35">
      <c r="C24" t="s">
        <v>14</v>
      </c>
      <c r="D24" s="11">
        <f>((K5+J5)/5)</f>
        <v>10.5</v>
      </c>
      <c r="F24" s="121"/>
      <c r="G24" s="131" t="s">
        <v>104</v>
      </c>
      <c r="H24" s="130"/>
      <c r="I24" s="407" t="s">
        <v>8</v>
      </c>
      <c r="J24" s="408" t="s">
        <v>228</v>
      </c>
      <c r="K24" s="409" t="s">
        <v>204</v>
      </c>
      <c r="L24" s="409" t="s">
        <v>100</v>
      </c>
      <c r="M24" s="409" t="s">
        <v>205</v>
      </c>
      <c r="N24" s="409" t="s">
        <v>206</v>
      </c>
      <c r="O24" s="409" t="s">
        <v>56</v>
      </c>
      <c r="P24" s="410" t="s">
        <v>69</v>
      </c>
      <c r="Q24" s="274"/>
      <c r="R24" s="411" t="s">
        <v>8</v>
      </c>
      <c r="S24" s="143" t="s">
        <v>228</v>
      </c>
      <c r="T24" s="143" t="s">
        <v>204</v>
      </c>
      <c r="U24" s="143" t="s">
        <v>100</v>
      </c>
      <c r="V24" s="143" t="s">
        <v>205</v>
      </c>
      <c r="W24" s="143" t="s">
        <v>206</v>
      </c>
      <c r="X24" s="143" t="s">
        <v>236</v>
      </c>
      <c r="Y24" s="412" t="s">
        <v>27</v>
      </c>
      <c r="AA24" s="143" t="s">
        <v>228</v>
      </c>
      <c r="AB24" s="143" t="s">
        <v>204</v>
      </c>
      <c r="AC24" s="143" t="s">
        <v>100</v>
      </c>
      <c r="AD24" s="143" t="s">
        <v>205</v>
      </c>
      <c r="AE24" s="143" t="s">
        <v>206</v>
      </c>
    </row>
    <row r="25" spans="1:31" ht="15" thickBot="1" x14ac:dyDescent="0.35">
      <c r="D25" s="8"/>
      <c r="F25" s="122"/>
      <c r="G25" s="126" t="s">
        <v>69</v>
      </c>
      <c r="H25" s="127">
        <f>SUM(P27:P61)</f>
        <v>42</v>
      </c>
      <c r="I25" s="83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9">
        <f t="shared" si="3"/>
        <v>0</v>
      </c>
      <c r="AA25" s="241">
        <f>SUM(J26:J40)+SUM(S27:S40)</f>
        <v>1</v>
      </c>
      <c r="AB25">
        <f>SUM(K26:K40)+SUM(T27:T40)</f>
        <v>12.5</v>
      </c>
      <c r="AC25" s="241">
        <f>SUM(L26:L40)+SUM(U27:U40)</f>
        <v>9</v>
      </c>
      <c r="AD25" s="241">
        <f>SUM(M26:M40)+SUM(V27:V40)</f>
        <v>11</v>
      </c>
      <c r="AE25" s="241">
        <f>SUM(N26:N40)+SUM(W27:W40)</f>
        <v>7</v>
      </c>
    </row>
    <row r="26" spans="1:31" ht="15" thickBot="1" x14ac:dyDescent="0.35">
      <c r="F26" s="123"/>
      <c r="G26" s="128" t="s">
        <v>218</v>
      </c>
      <c r="H26" s="129">
        <f>H25*80</f>
        <v>3360</v>
      </c>
      <c r="I26" s="495" t="s">
        <v>353</v>
      </c>
      <c r="J26" s="496"/>
      <c r="K26" s="496"/>
      <c r="L26" s="496"/>
      <c r="M26" s="496"/>
      <c r="N26" s="496">
        <v>1</v>
      </c>
      <c r="O26" s="496"/>
      <c r="P26" s="496"/>
      <c r="Q26" s="496"/>
      <c r="R26" s="496"/>
      <c r="S26" s="496"/>
      <c r="T26" s="496"/>
      <c r="U26" s="496"/>
      <c r="V26" s="496"/>
      <c r="W26" s="497"/>
      <c r="X26" s="151"/>
      <c r="Y26" s="152">
        <f t="shared" si="3"/>
        <v>0</v>
      </c>
    </row>
    <row r="27" spans="1:31" ht="15" thickBot="1" x14ac:dyDescent="0.35">
      <c r="C27" s="7" t="s">
        <v>7</v>
      </c>
      <c r="D27" s="7">
        <f>SUM(D21:D25)</f>
        <v>25.75</v>
      </c>
      <c r="F27" s="413" t="s">
        <v>40</v>
      </c>
      <c r="G27" s="447" t="s">
        <v>40</v>
      </c>
      <c r="H27" s="42" t="s">
        <v>24</v>
      </c>
      <c r="I27" s="201" t="s">
        <v>146</v>
      </c>
      <c r="J27" s="137"/>
      <c r="K27" s="137"/>
      <c r="L27" s="137"/>
      <c r="M27" s="137">
        <v>1</v>
      </c>
      <c r="N27" s="137">
        <v>3</v>
      </c>
      <c r="O27" s="137"/>
      <c r="P27" s="137">
        <v>4</v>
      </c>
      <c r="Q27" s="137" t="s">
        <v>354</v>
      </c>
      <c r="R27" s="137" t="s">
        <v>124</v>
      </c>
      <c r="S27" s="137">
        <v>1</v>
      </c>
      <c r="T27" s="137"/>
      <c r="U27" s="137">
        <v>1</v>
      </c>
      <c r="V27" s="137">
        <v>1</v>
      </c>
      <c r="W27" s="455"/>
      <c r="X27" s="62"/>
      <c r="Y27" s="62">
        <f t="shared" si="3"/>
        <v>0.5</v>
      </c>
    </row>
    <row r="28" spans="1:31" ht="15" thickTop="1" x14ac:dyDescent="0.3">
      <c r="F28" s="414" t="s">
        <v>365</v>
      </c>
      <c r="G28" s="20" t="s">
        <v>108</v>
      </c>
      <c r="H28" s="43"/>
      <c r="I28" s="197"/>
      <c r="J28" s="41"/>
      <c r="K28" s="41"/>
      <c r="L28" s="41"/>
      <c r="M28" s="41"/>
      <c r="N28" s="41"/>
      <c r="O28" s="41"/>
      <c r="P28" s="41">
        <v>1</v>
      </c>
      <c r="Q28" s="41" t="s">
        <v>63</v>
      </c>
      <c r="R28" s="41" t="s">
        <v>76</v>
      </c>
      <c r="S28" s="41"/>
      <c r="T28" s="41">
        <v>1</v>
      </c>
      <c r="U28" s="41"/>
      <c r="V28" s="41">
        <v>1</v>
      </c>
      <c r="W28" s="494"/>
      <c r="X28" s="58"/>
      <c r="Y28" s="58">
        <f t="shared" si="3"/>
        <v>0.5</v>
      </c>
    </row>
    <row r="29" spans="1:31" ht="15" thickBot="1" x14ac:dyDescent="0.35">
      <c r="B29" s="167" t="s">
        <v>234</v>
      </c>
      <c r="C29" s="163"/>
      <c r="D29" s="163"/>
      <c r="F29" s="112"/>
      <c r="G29" s="19"/>
      <c r="H29" s="44">
        <f>SUM(P27:P29)</f>
        <v>6</v>
      </c>
      <c r="I29" s="279" t="s">
        <v>294</v>
      </c>
      <c r="J29" s="280"/>
      <c r="K29" s="280"/>
      <c r="L29" s="280"/>
      <c r="M29" s="280"/>
      <c r="N29" s="280"/>
      <c r="O29" s="280"/>
      <c r="P29" s="280">
        <v>1</v>
      </c>
      <c r="Q29" s="280" t="s">
        <v>46</v>
      </c>
      <c r="R29" s="280" t="s">
        <v>199</v>
      </c>
      <c r="S29" s="280"/>
      <c r="T29" s="280">
        <v>1</v>
      </c>
      <c r="U29" s="280"/>
      <c r="V29" s="280"/>
      <c r="W29" s="457"/>
      <c r="X29" s="58"/>
      <c r="Y29" s="58">
        <f t="shared" si="3"/>
        <v>0.5</v>
      </c>
    </row>
    <row r="30" spans="1:31" x14ac:dyDescent="0.3">
      <c r="B30" s="157" t="s">
        <v>232</v>
      </c>
      <c r="C30" s="157"/>
      <c r="D30" s="158"/>
      <c r="F30" s="112"/>
      <c r="G30" s="50" t="s">
        <v>200</v>
      </c>
      <c r="H30" s="42"/>
      <c r="I30" s="191" t="s">
        <v>216</v>
      </c>
      <c r="J30" s="192"/>
      <c r="K30" s="192">
        <v>2</v>
      </c>
      <c r="L30" s="192">
        <v>1</v>
      </c>
      <c r="M30" s="192">
        <v>1</v>
      </c>
      <c r="N30" s="192"/>
      <c r="O30" s="192"/>
      <c r="P30" s="192">
        <v>3</v>
      </c>
      <c r="Q30" s="192" t="s">
        <v>195</v>
      </c>
      <c r="R30" s="192" t="s">
        <v>300</v>
      </c>
      <c r="S30" s="192"/>
      <c r="T30" s="192"/>
      <c r="U30" s="192">
        <v>1</v>
      </c>
      <c r="V30" s="192">
        <v>1</v>
      </c>
      <c r="W30" s="498"/>
      <c r="X30" s="62"/>
      <c r="Y30" s="62">
        <f t="shared" si="3"/>
        <v>0</v>
      </c>
    </row>
    <row r="31" spans="1:31" ht="15" thickBot="1" x14ac:dyDescent="0.35">
      <c r="B31" s="159">
        <v>4</v>
      </c>
      <c r="C31" s="24" t="s">
        <v>20</v>
      </c>
      <c r="D31" s="25">
        <f>B31*0.5</f>
        <v>2</v>
      </c>
      <c r="F31" s="112"/>
      <c r="G31" s="19" t="s">
        <v>201</v>
      </c>
      <c r="H31" s="44">
        <f>SUM(P30:P31)</f>
        <v>4</v>
      </c>
      <c r="I31" s="235" t="s">
        <v>366</v>
      </c>
      <c r="J31" s="236"/>
      <c r="K31" s="236">
        <v>0.5</v>
      </c>
      <c r="L31" s="236">
        <v>1</v>
      </c>
      <c r="M31" s="236"/>
      <c r="N31" s="236"/>
      <c r="O31" s="236"/>
      <c r="P31" s="236">
        <v>1</v>
      </c>
      <c r="Q31" s="236"/>
      <c r="R31" s="236"/>
      <c r="S31" s="236"/>
      <c r="T31" s="236"/>
      <c r="U31" s="236"/>
      <c r="V31" s="236"/>
      <c r="W31" s="499"/>
      <c r="X31" s="60"/>
      <c r="Y31" s="60">
        <f t="shared" si="3"/>
        <v>0</v>
      </c>
    </row>
    <row r="32" spans="1:31" x14ac:dyDescent="0.3">
      <c r="B32" s="159">
        <v>5</v>
      </c>
      <c r="C32" s="24" t="s">
        <v>21</v>
      </c>
      <c r="D32" s="25">
        <f>B32</f>
        <v>5</v>
      </c>
      <c r="F32" s="112"/>
      <c r="G32" s="50" t="s">
        <v>202</v>
      </c>
      <c r="H32" s="42"/>
      <c r="I32" s="201"/>
      <c r="J32" s="137"/>
      <c r="K32" s="137"/>
      <c r="L32" s="137"/>
      <c r="M32" s="137"/>
      <c r="N32" s="137"/>
      <c r="O32" s="137"/>
      <c r="P32" s="137">
        <v>2</v>
      </c>
      <c r="Q32" s="137" t="s">
        <v>46</v>
      </c>
      <c r="R32" s="137" t="s">
        <v>203</v>
      </c>
      <c r="S32" s="137"/>
      <c r="T32" s="137">
        <v>2</v>
      </c>
      <c r="U32" s="137">
        <v>1</v>
      </c>
      <c r="V32" s="137">
        <v>1</v>
      </c>
      <c r="W32" s="455"/>
      <c r="X32" s="62"/>
      <c r="Y32" s="62">
        <f>SUM(S32:T32)*$Y$6</f>
        <v>1</v>
      </c>
    </row>
    <row r="33" spans="2:25" x14ac:dyDescent="0.3">
      <c r="B33" s="159">
        <v>3</v>
      </c>
      <c r="C33" s="24" t="s">
        <v>22</v>
      </c>
      <c r="D33" s="25">
        <v>4</v>
      </c>
      <c r="F33" s="112"/>
      <c r="G33" s="20" t="s">
        <v>201</v>
      </c>
      <c r="H33" s="43"/>
      <c r="I33" s="197"/>
      <c r="J33" s="41"/>
      <c r="K33" s="41"/>
      <c r="L33" s="41"/>
      <c r="M33" s="41"/>
      <c r="N33" s="41"/>
      <c r="O33" s="41"/>
      <c r="P33" s="41">
        <v>1</v>
      </c>
      <c r="Q33" s="41" t="s">
        <v>46</v>
      </c>
      <c r="R33" s="41" t="s">
        <v>189</v>
      </c>
      <c r="S33" s="41"/>
      <c r="T33" s="41"/>
      <c r="U33" s="41">
        <v>1</v>
      </c>
      <c r="V33" s="41">
        <v>1</v>
      </c>
      <c r="W33" s="494"/>
      <c r="X33" s="58"/>
      <c r="Y33" s="58">
        <f>SUM(S33:T33)*$Y$6</f>
        <v>0</v>
      </c>
    </row>
    <row r="34" spans="2:25" ht="15" thickBot="1" x14ac:dyDescent="0.35">
      <c r="B34" s="159">
        <v>5</v>
      </c>
      <c r="C34" s="24" t="s">
        <v>23</v>
      </c>
      <c r="D34" s="25">
        <v>6</v>
      </c>
      <c r="F34" s="112"/>
      <c r="G34" s="19"/>
      <c r="H34" s="44">
        <f>SUM(P32:P34)</f>
        <v>4</v>
      </c>
      <c r="I34" s="279"/>
      <c r="J34" s="280"/>
      <c r="K34" s="280"/>
      <c r="L34" s="280"/>
      <c r="M34" s="280"/>
      <c r="N34" s="280"/>
      <c r="O34" s="280"/>
      <c r="P34" s="280">
        <v>1</v>
      </c>
      <c r="Q34" s="280" t="s">
        <v>46</v>
      </c>
      <c r="R34" s="280" t="s">
        <v>181</v>
      </c>
      <c r="S34" s="280"/>
      <c r="T34" s="280"/>
      <c r="U34" s="280"/>
      <c r="V34" s="280">
        <v>1</v>
      </c>
      <c r="W34" s="457">
        <v>1</v>
      </c>
      <c r="X34" s="60"/>
      <c r="Y34" s="60">
        <f>SUM(S34:T34)*$Y$6</f>
        <v>0</v>
      </c>
    </row>
    <row r="35" spans="2:25" ht="15" thickBot="1" x14ac:dyDescent="0.35">
      <c r="B35" s="160"/>
      <c r="C35" s="161" t="s">
        <v>25</v>
      </c>
      <c r="D35" s="162">
        <f>SUM(D31:D34)</f>
        <v>17</v>
      </c>
      <c r="F35" s="112"/>
      <c r="G35" s="462" t="s">
        <v>363</v>
      </c>
      <c r="H35" s="42"/>
      <c r="I35" s="191"/>
      <c r="J35" s="192"/>
      <c r="K35" s="192"/>
      <c r="L35" s="192"/>
      <c r="M35" s="192"/>
      <c r="N35" s="192"/>
      <c r="O35" s="192"/>
      <c r="P35" s="192">
        <v>2</v>
      </c>
      <c r="Q35" s="192" t="s">
        <v>46</v>
      </c>
      <c r="R35" s="192" t="s">
        <v>364</v>
      </c>
      <c r="S35" s="192"/>
      <c r="T35" s="192">
        <v>2</v>
      </c>
      <c r="U35" s="192">
        <v>1</v>
      </c>
      <c r="V35" s="192">
        <v>1</v>
      </c>
      <c r="W35" s="498"/>
      <c r="X35" s="62"/>
      <c r="Y35" s="62">
        <f t="shared" si="3"/>
        <v>1</v>
      </c>
    </row>
    <row r="36" spans="2:25" s="241" customFormat="1" x14ac:dyDescent="0.3">
      <c r="B36" s="253"/>
      <c r="C36" s="415"/>
      <c r="D36" s="415"/>
      <c r="F36" s="112"/>
      <c r="G36" s="509" t="s">
        <v>201</v>
      </c>
      <c r="H36" s="406"/>
      <c r="I36" s="197"/>
      <c r="J36" s="41"/>
      <c r="K36" s="41"/>
      <c r="L36" s="41"/>
      <c r="M36" s="41"/>
      <c r="N36" s="41"/>
      <c r="O36" s="41"/>
      <c r="P36" s="41">
        <v>2</v>
      </c>
      <c r="Q36" s="41" t="s">
        <v>46</v>
      </c>
      <c r="R36" s="41" t="s">
        <v>411</v>
      </c>
      <c r="S36" s="41"/>
      <c r="T36" s="41">
        <v>2</v>
      </c>
      <c r="U36" s="41"/>
      <c r="V36" s="41"/>
      <c r="W36" s="494"/>
      <c r="X36" s="58"/>
      <c r="Y36" s="58"/>
    </row>
    <row r="37" spans="2:25" ht="15" thickBot="1" x14ac:dyDescent="0.35">
      <c r="F37" s="112" t="s">
        <v>219</v>
      </c>
      <c r="G37" s="19"/>
      <c r="H37" s="44">
        <f>SUM(P35:P37)</f>
        <v>4</v>
      </c>
      <c r="I37" s="279"/>
      <c r="J37" s="280"/>
      <c r="K37" s="280"/>
      <c r="L37" s="280"/>
      <c r="M37" s="280"/>
      <c r="N37" s="280"/>
      <c r="O37" s="280"/>
      <c r="P37" s="280">
        <v>0</v>
      </c>
      <c r="Q37" s="280"/>
      <c r="R37" s="280"/>
      <c r="S37" s="280"/>
      <c r="T37" s="280"/>
      <c r="U37" s="280"/>
      <c r="V37" s="280"/>
      <c r="W37" s="457"/>
      <c r="X37" s="60"/>
      <c r="Y37" s="60">
        <f t="shared" si="3"/>
        <v>0</v>
      </c>
    </row>
    <row r="38" spans="2:25" x14ac:dyDescent="0.3">
      <c r="B38" s="167" t="s">
        <v>233</v>
      </c>
      <c r="C38" s="163"/>
      <c r="D38" s="163"/>
      <c r="F38" s="112">
        <f>SUM(P27:P40)</f>
        <v>22</v>
      </c>
      <c r="G38" s="50" t="s">
        <v>486</v>
      </c>
      <c r="H38" s="80"/>
      <c r="I38" s="41"/>
      <c r="J38" s="41"/>
      <c r="K38" s="41"/>
      <c r="L38" s="41"/>
      <c r="M38" s="41"/>
      <c r="N38" s="41"/>
      <c r="O38" s="41"/>
      <c r="P38" s="41">
        <v>2</v>
      </c>
      <c r="Q38" s="41" t="s">
        <v>96</v>
      </c>
      <c r="R38" s="41" t="s">
        <v>487</v>
      </c>
      <c r="S38" s="41"/>
      <c r="T38" s="41"/>
      <c r="U38" s="41">
        <v>1</v>
      </c>
      <c r="V38" s="41">
        <v>1</v>
      </c>
      <c r="W38" s="41">
        <v>2</v>
      </c>
      <c r="X38" s="62"/>
      <c r="Y38" s="62">
        <f t="shared" si="3"/>
        <v>0</v>
      </c>
    </row>
    <row r="39" spans="2:25" x14ac:dyDescent="0.3">
      <c r="B39" s="157" t="s">
        <v>232</v>
      </c>
      <c r="C39" s="157"/>
      <c r="D39" s="157"/>
      <c r="F39" s="112" t="s">
        <v>218</v>
      </c>
      <c r="G39" s="509" t="s">
        <v>201</v>
      </c>
      <c r="H39" s="43"/>
      <c r="I39" s="41"/>
      <c r="J39" s="41"/>
      <c r="K39" s="41"/>
      <c r="L39" s="41"/>
      <c r="M39" s="41"/>
      <c r="N39" s="41"/>
      <c r="O39" s="41"/>
      <c r="P39" s="41">
        <v>2</v>
      </c>
      <c r="Q39" s="41" t="s">
        <v>96</v>
      </c>
      <c r="R39" s="41" t="s">
        <v>216</v>
      </c>
      <c r="S39" s="41"/>
      <c r="T39" s="41">
        <v>2</v>
      </c>
      <c r="U39" s="41">
        <v>1</v>
      </c>
      <c r="V39" s="41">
        <v>1</v>
      </c>
      <c r="W39" s="41"/>
      <c r="X39" s="58"/>
      <c r="Y39" s="58">
        <f t="shared" si="3"/>
        <v>1</v>
      </c>
    </row>
    <row r="40" spans="2:25" ht="15" thickBot="1" x14ac:dyDescent="0.35">
      <c r="B40" s="165">
        <v>30</v>
      </c>
      <c r="C40" s="24" t="s">
        <v>16</v>
      </c>
      <c r="D40" s="25">
        <f>-INT(B40/4)</f>
        <v>-7</v>
      </c>
      <c r="F40" s="114">
        <f>F38*50</f>
        <v>1100</v>
      </c>
      <c r="G40" s="19"/>
      <c r="H40" s="44">
        <f>SUM(P38:P40)</f>
        <v>4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60"/>
      <c r="Y40" s="60">
        <f t="shared" si="3"/>
        <v>0</v>
      </c>
    </row>
    <row r="41" spans="2:25" ht="15" thickBot="1" x14ac:dyDescent="0.35">
      <c r="B41" s="24">
        <v>0</v>
      </c>
      <c r="C41" s="24" t="s">
        <v>17</v>
      </c>
      <c r="D41" s="25">
        <f>INT(B41/3)</f>
        <v>0</v>
      </c>
      <c r="F41" s="515"/>
      <c r="G41" s="110"/>
      <c r="H41" s="110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</row>
    <row r="42" spans="2:25" x14ac:dyDescent="0.3">
      <c r="B42" s="24">
        <v>0</v>
      </c>
      <c r="C42" s="24" t="s">
        <v>18</v>
      </c>
      <c r="D42" s="25">
        <f>B42</f>
        <v>0</v>
      </c>
      <c r="F42" s="518" t="s">
        <v>87</v>
      </c>
      <c r="G42" s="510" t="s">
        <v>87</v>
      </c>
      <c r="H42" s="21" t="s">
        <v>24</v>
      </c>
      <c r="I42" s="61" t="s">
        <v>475</v>
      </c>
      <c r="J42" s="61"/>
      <c r="K42" s="61"/>
      <c r="L42" s="61"/>
      <c r="M42" s="61">
        <v>1</v>
      </c>
      <c r="N42" s="61">
        <v>3</v>
      </c>
      <c r="O42" s="61"/>
      <c r="P42" s="103">
        <v>4</v>
      </c>
      <c r="Q42" s="61" t="s">
        <v>130</v>
      </c>
      <c r="R42" s="61" t="s">
        <v>124</v>
      </c>
      <c r="S42" s="61">
        <v>1</v>
      </c>
      <c r="T42" s="61"/>
      <c r="U42" s="61">
        <v>1</v>
      </c>
      <c r="V42" s="61">
        <v>1</v>
      </c>
      <c r="W42" s="271"/>
      <c r="X42" s="351"/>
      <c r="Y42" s="351">
        <f t="shared" si="3"/>
        <v>0.5</v>
      </c>
    </row>
    <row r="43" spans="2:25" x14ac:dyDescent="0.3">
      <c r="B43" s="24"/>
      <c r="C43" s="24" t="s">
        <v>26</v>
      </c>
      <c r="D43" s="25">
        <f>-(O9+X9)</f>
        <v>-1</v>
      </c>
      <c r="F43" s="519" t="s">
        <v>365</v>
      </c>
      <c r="G43" s="511" t="s">
        <v>108</v>
      </c>
      <c r="H43" s="23"/>
      <c r="I43" s="51"/>
      <c r="J43" s="51"/>
      <c r="K43" s="51"/>
      <c r="L43" s="51"/>
      <c r="M43" s="51"/>
      <c r="N43" s="51"/>
      <c r="O43" s="51"/>
      <c r="P43" s="82">
        <v>1</v>
      </c>
      <c r="Q43" s="51" t="s">
        <v>74</v>
      </c>
      <c r="R43" s="66" t="s">
        <v>142</v>
      </c>
      <c r="S43" s="66"/>
      <c r="T43" s="66">
        <v>1</v>
      </c>
      <c r="U43" s="66"/>
      <c r="V43" s="66">
        <v>1</v>
      </c>
      <c r="W43" s="464"/>
      <c r="X43" s="465"/>
      <c r="Y43" s="465">
        <f t="shared" si="3"/>
        <v>0.5</v>
      </c>
    </row>
    <row r="44" spans="2:25" x14ac:dyDescent="0.3">
      <c r="B44" s="24"/>
      <c r="C44" s="24" t="s">
        <v>58</v>
      </c>
      <c r="D44" s="25">
        <f>(INT((D16-10)/5)*-1)</f>
        <v>-7</v>
      </c>
      <c r="F44" s="122"/>
      <c r="G44" s="305"/>
      <c r="H44" s="23"/>
      <c r="I44" s="51"/>
      <c r="J44" s="51"/>
      <c r="K44" s="51"/>
      <c r="L44" s="51"/>
      <c r="M44" s="51"/>
      <c r="N44" s="51"/>
      <c r="O44" s="51"/>
      <c r="P44" s="82">
        <v>1</v>
      </c>
      <c r="Q44" s="51" t="s">
        <v>74</v>
      </c>
      <c r="R44" s="66" t="s">
        <v>522</v>
      </c>
      <c r="S44" s="66"/>
      <c r="T44" s="66">
        <v>1</v>
      </c>
      <c r="U44" s="66"/>
      <c r="V44" s="66"/>
      <c r="W44" s="464"/>
      <c r="X44" s="465"/>
      <c r="Y44" s="465">
        <f t="shared" si="3"/>
        <v>0.5</v>
      </c>
    </row>
    <row r="45" spans="2:25" ht="15" thickBot="1" x14ac:dyDescent="0.35">
      <c r="B45" s="24"/>
      <c r="C45" s="166" t="s">
        <v>25</v>
      </c>
      <c r="D45" s="166">
        <f>SUM(D40:D44)</f>
        <v>-15</v>
      </c>
      <c r="F45" s="122"/>
      <c r="G45" s="512"/>
      <c r="H45" s="22">
        <f>SUM(P42:P45)</f>
        <v>6</v>
      </c>
      <c r="I45" s="59"/>
      <c r="J45" s="59"/>
      <c r="K45" s="59"/>
      <c r="L45" s="59"/>
      <c r="M45" s="59"/>
      <c r="N45" s="59"/>
      <c r="O45" s="59"/>
      <c r="P45" s="104"/>
      <c r="Q45" s="59"/>
      <c r="R45" s="59"/>
      <c r="S45" s="59"/>
      <c r="T45" s="59"/>
      <c r="U45" s="59"/>
      <c r="V45" s="59"/>
      <c r="W45" s="269"/>
      <c r="X45" s="268"/>
      <c r="Y45" s="268">
        <f t="shared" si="3"/>
        <v>0</v>
      </c>
    </row>
    <row r="46" spans="2:25" x14ac:dyDescent="0.3">
      <c r="D46" s="164"/>
      <c r="F46" s="122"/>
      <c r="G46" s="513" t="s">
        <v>331</v>
      </c>
      <c r="H46" s="109"/>
      <c r="I46" s="51"/>
      <c r="J46" s="51"/>
      <c r="K46" s="51"/>
      <c r="L46" s="51"/>
      <c r="M46" s="51"/>
      <c r="N46" s="51"/>
      <c r="O46" s="51"/>
      <c r="P46" s="82">
        <v>2</v>
      </c>
      <c r="Q46" s="259" t="s">
        <v>556</v>
      </c>
      <c r="R46" s="259"/>
      <c r="S46" s="259"/>
      <c r="T46" s="259">
        <v>2</v>
      </c>
      <c r="U46" s="259">
        <v>1</v>
      </c>
      <c r="V46" s="259">
        <v>1</v>
      </c>
      <c r="W46" s="58"/>
      <c r="X46" s="58"/>
      <c r="Y46" s="58">
        <f t="shared" si="3"/>
        <v>1</v>
      </c>
    </row>
    <row r="47" spans="2:25" ht="15" thickBot="1" x14ac:dyDescent="0.35">
      <c r="C47" s="32" t="s">
        <v>57</v>
      </c>
      <c r="D47" s="7">
        <f>IF((D35+D45)&lt;0,0,(D35+D45))</f>
        <v>2</v>
      </c>
      <c r="F47" s="122"/>
      <c r="G47" s="514" t="s">
        <v>215</v>
      </c>
      <c r="H47" s="90"/>
      <c r="I47" s="51"/>
      <c r="J47" s="51"/>
      <c r="K47" s="51"/>
      <c r="L47" s="51"/>
      <c r="M47" s="51"/>
      <c r="N47" s="51"/>
      <c r="O47" s="51"/>
      <c r="P47" s="82">
        <v>1</v>
      </c>
      <c r="Q47" s="259" t="s">
        <v>332</v>
      </c>
      <c r="R47" s="259"/>
      <c r="S47" s="259"/>
      <c r="T47" s="259"/>
      <c r="U47" s="259"/>
      <c r="V47" s="259">
        <v>1</v>
      </c>
      <c r="W47" s="58">
        <v>1</v>
      </c>
      <c r="X47" s="58"/>
      <c r="Y47" s="58">
        <f t="shared" si="3"/>
        <v>0</v>
      </c>
    </row>
    <row r="48" spans="2:25" ht="15.6" thickTop="1" thickBot="1" x14ac:dyDescent="0.35">
      <c r="F48" s="122" t="s">
        <v>219</v>
      </c>
      <c r="G48" s="512" t="s">
        <v>330</v>
      </c>
      <c r="H48" s="22">
        <f>SUM(P46:P48)</f>
        <v>3</v>
      </c>
      <c r="I48" s="59"/>
      <c r="J48" s="59"/>
      <c r="K48" s="59"/>
      <c r="L48" s="59"/>
      <c r="M48" s="59"/>
      <c r="N48" s="59"/>
      <c r="O48" s="59"/>
      <c r="P48" s="104"/>
      <c r="Q48" s="59"/>
      <c r="R48" s="59"/>
      <c r="S48" s="59"/>
      <c r="T48" s="59"/>
      <c r="U48" s="59"/>
      <c r="V48" s="59"/>
      <c r="W48" s="60"/>
      <c r="X48" s="60"/>
      <c r="Y48" s="60">
        <f t="shared" si="3"/>
        <v>0</v>
      </c>
    </row>
    <row r="49" spans="3:25" x14ac:dyDescent="0.3">
      <c r="F49" s="122"/>
      <c r="G49" s="581" t="s">
        <v>422</v>
      </c>
      <c r="H49" s="91"/>
      <c r="I49" s="271" t="s">
        <v>555</v>
      </c>
      <c r="J49" s="271"/>
      <c r="K49" s="271">
        <v>2</v>
      </c>
      <c r="L49" s="271">
        <v>1</v>
      </c>
      <c r="M49" s="271">
        <v>1</v>
      </c>
      <c r="N49" s="271"/>
      <c r="O49" s="271"/>
      <c r="P49" s="82">
        <v>2</v>
      </c>
      <c r="Q49" s="271"/>
      <c r="R49" s="271"/>
      <c r="S49" s="271"/>
      <c r="T49" s="271"/>
      <c r="U49" s="271"/>
      <c r="V49" s="271"/>
      <c r="W49" s="62"/>
      <c r="X49" s="62"/>
      <c r="Y49" s="62"/>
    </row>
    <row r="50" spans="3:25" ht="15" thickBot="1" x14ac:dyDescent="0.35">
      <c r="C50" s="9" t="s">
        <v>27</v>
      </c>
      <c r="D50" s="9">
        <f>D27-D47</f>
        <v>23.75</v>
      </c>
      <c r="F50" s="122"/>
      <c r="G50" s="582" t="s">
        <v>215</v>
      </c>
      <c r="H50" s="90"/>
      <c r="I50" s="259" t="s">
        <v>207</v>
      </c>
      <c r="J50" s="259"/>
      <c r="K50" s="259">
        <v>1</v>
      </c>
      <c r="L50" s="259"/>
      <c r="M50" s="259"/>
      <c r="N50" s="259"/>
      <c r="O50" s="259"/>
      <c r="P50" s="82">
        <v>1</v>
      </c>
      <c r="Q50" s="259"/>
      <c r="R50" s="259"/>
      <c r="S50" s="259"/>
      <c r="T50" s="259"/>
      <c r="U50" s="259"/>
      <c r="V50" s="259"/>
      <c r="W50" s="58"/>
      <c r="X50" s="58"/>
      <c r="Y50" s="58"/>
    </row>
    <row r="51" spans="3:25" ht="15.6" thickTop="1" thickBot="1" x14ac:dyDescent="0.35">
      <c r="F51" s="122"/>
      <c r="G51" s="19" t="s">
        <v>330</v>
      </c>
      <c r="H51" s="22">
        <f>SUM(P49:P51)</f>
        <v>3</v>
      </c>
      <c r="I51" s="269"/>
      <c r="J51" s="269"/>
      <c r="K51" s="269"/>
      <c r="L51" s="269"/>
      <c r="M51" s="269"/>
      <c r="N51" s="269"/>
      <c r="O51" s="269"/>
      <c r="P51" s="82">
        <v>0</v>
      </c>
      <c r="Q51" s="269"/>
      <c r="R51" s="269"/>
      <c r="S51" s="269"/>
      <c r="T51" s="269"/>
      <c r="U51" s="269"/>
      <c r="V51" s="269"/>
      <c r="W51" s="60"/>
      <c r="X51" s="60"/>
      <c r="Y51" s="60"/>
    </row>
    <row r="52" spans="3:25" x14ac:dyDescent="0.3">
      <c r="F52" s="122">
        <f>SUM(P42:P54)</f>
        <v>15</v>
      </c>
      <c r="G52" s="513" t="s">
        <v>557</v>
      </c>
      <c r="H52" s="109"/>
      <c r="I52" s="259" t="s">
        <v>341</v>
      </c>
      <c r="J52" s="259"/>
      <c r="K52" s="259">
        <v>2</v>
      </c>
      <c r="L52" s="259">
        <v>1</v>
      </c>
      <c r="M52" s="259">
        <v>1</v>
      </c>
      <c r="N52" s="259"/>
      <c r="O52" s="259"/>
      <c r="P52" s="82">
        <v>2</v>
      </c>
      <c r="Q52" s="259"/>
      <c r="R52" s="259"/>
      <c r="S52" s="259"/>
      <c r="T52" s="259"/>
      <c r="U52" s="259"/>
      <c r="V52" s="259"/>
      <c r="W52" s="58"/>
      <c r="X52" s="58"/>
      <c r="Y52" s="58">
        <f>SUM(S52:T52)*$Y$6</f>
        <v>0</v>
      </c>
    </row>
    <row r="53" spans="3:25" x14ac:dyDescent="0.3">
      <c r="F53" s="122" t="s">
        <v>218</v>
      </c>
      <c r="G53" s="514" t="s">
        <v>215</v>
      </c>
      <c r="H53" s="90"/>
      <c r="I53" s="259" t="s">
        <v>72</v>
      </c>
      <c r="J53" s="259"/>
      <c r="K53" s="259"/>
      <c r="L53" s="259">
        <v>1</v>
      </c>
      <c r="M53" s="259">
        <v>2</v>
      </c>
      <c r="N53" s="259"/>
      <c r="O53" s="259"/>
      <c r="P53" s="82">
        <v>1</v>
      </c>
      <c r="Q53" s="259"/>
      <c r="R53" s="259"/>
      <c r="S53" s="259"/>
      <c r="T53" s="259"/>
      <c r="U53" s="259"/>
      <c r="V53" s="259"/>
      <c r="W53" s="58"/>
      <c r="X53" s="58"/>
      <c r="Y53" s="58">
        <f>SUM(S53:T53)*$Y$6</f>
        <v>0</v>
      </c>
    </row>
    <row r="54" spans="3:25" ht="15" thickBot="1" x14ac:dyDescent="0.35">
      <c r="F54" s="123">
        <f>F52*50</f>
        <v>750</v>
      </c>
      <c r="G54" s="512" t="s">
        <v>330</v>
      </c>
      <c r="H54" s="22">
        <f>SUM(P52:P54)</f>
        <v>3</v>
      </c>
      <c r="I54" s="269"/>
      <c r="J54" s="269"/>
      <c r="K54" s="269"/>
      <c r="L54" s="269"/>
      <c r="M54" s="269"/>
      <c r="N54" s="269"/>
      <c r="O54" s="269"/>
      <c r="P54" s="104"/>
      <c r="Q54" s="269"/>
      <c r="R54" s="269"/>
      <c r="S54" s="269"/>
      <c r="T54" s="269"/>
      <c r="U54" s="269"/>
      <c r="V54" s="269"/>
      <c r="W54" s="60"/>
      <c r="X54" s="60"/>
      <c r="Y54" s="60">
        <f>SUM(S54:T54)*$Y$6</f>
        <v>0</v>
      </c>
    </row>
    <row r="55" spans="3:25" ht="15" thickBot="1" x14ac:dyDescent="0.35">
      <c r="F55" s="117"/>
      <c r="G55" s="87"/>
      <c r="H55" s="87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>
        <f t="shared" si="3"/>
        <v>0</v>
      </c>
    </row>
    <row r="56" spans="3:25" x14ac:dyDescent="0.3">
      <c r="F56" s="516" t="s">
        <v>480</v>
      </c>
      <c r="G56" s="520" t="s">
        <v>64</v>
      </c>
      <c r="H56" s="21" t="s">
        <v>24</v>
      </c>
      <c r="I56" s="134" t="s">
        <v>101</v>
      </c>
      <c r="J56" s="142"/>
      <c r="K56" s="61"/>
      <c r="L56" s="61"/>
      <c r="M56" s="61"/>
      <c r="N56" s="61">
        <v>1</v>
      </c>
      <c r="O56" s="61"/>
      <c r="P56" s="103">
        <v>2</v>
      </c>
      <c r="Q56" s="61" t="s">
        <v>195</v>
      </c>
      <c r="R56" s="61" t="s">
        <v>196</v>
      </c>
      <c r="S56" s="61"/>
      <c r="T56" s="61"/>
      <c r="U56" s="61">
        <v>1</v>
      </c>
      <c r="V56" s="61">
        <v>1</v>
      </c>
      <c r="W56" s="62"/>
      <c r="X56" s="62"/>
      <c r="Y56" s="62">
        <f t="shared" si="3"/>
        <v>0</v>
      </c>
    </row>
    <row r="57" spans="3:25" x14ac:dyDescent="0.3">
      <c r="F57" s="517" t="s">
        <v>365</v>
      </c>
      <c r="G57" s="521" t="s">
        <v>108</v>
      </c>
      <c r="H57" s="53"/>
      <c r="I57" s="92"/>
      <c r="J57" s="55"/>
      <c r="K57" s="51"/>
      <c r="L57" s="51"/>
      <c r="M57" s="51"/>
      <c r="N57" s="51"/>
      <c r="O57" s="51"/>
      <c r="P57" s="82"/>
      <c r="Q57" s="51"/>
      <c r="R57" s="51"/>
      <c r="S57" s="51"/>
      <c r="T57" s="51"/>
      <c r="U57" s="51"/>
      <c r="V57" s="51"/>
      <c r="W57" s="58"/>
      <c r="X57" s="58"/>
      <c r="Y57" s="58">
        <f t="shared" si="3"/>
        <v>0</v>
      </c>
    </row>
    <row r="58" spans="3:25" x14ac:dyDescent="0.3">
      <c r="F58" s="122" t="s">
        <v>219</v>
      </c>
      <c r="G58" s="522"/>
      <c r="H58" s="53"/>
      <c r="I58" s="92"/>
      <c r="J58" s="55"/>
      <c r="K58" s="51"/>
      <c r="L58" s="51"/>
      <c r="M58" s="51"/>
      <c r="N58" s="51"/>
      <c r="O58" s="51"/>
      <c r="P58" s="82"/>
      <c r="Q58" s="51"/>
      <c r="R58" s="51"/>
      <c r="S58" s="51"/>
      <c r="T58" s="51"/>
      <c r="U58" s="51"/>
      <c r="V58" s="51"/>
      <c r="W58" s="58"/>
      <c r="X58" s="58"/>
      <c r="Y58" s="58">
        <f t="shared" si="3"/>
        <v>0</v>
      </c>
    </row>
    <row r="59" spans="3:25" ht="15" thickBot="1" x14ac:dyDescent="0.35">
      <c r="F59" s="122">
        <f>SUM(H56:H61)</f>
        <v>5</v>
      </c>
      <c r="G59" s="523"/>
      <c r="H59" s="109">
        <f>SUM(P56:P59)</f>
        <v>2</v>
      </c>
      <c r="I59" s="92"/>
      <c r="J59" s="55"/>
      <c r="K59" s="51"/>
      <c r="L59" s="51"/>
      <c r="M59" s="51"/>
      <c r="N59" s="51"/>
      <c r="O59" s="51"/>
      <c r="P59" s="82"/>
      <c r="Q59" s="51"/>
      <c r="R59" s="51"/>
      <c r="S59" s="51"/>
      <c r="T59" s="51"/>
      <c r="U59" s="51"/>
      <c r="V59" s="51"/>
      <c r="W59" s="58"/>
      <c r="X59" s="58"/>
      <c r="Y59" s="58">
        <f t="shared" si="3"/>
        <v>0</v>
      </c>
    </row>
    <row r="60" spans="3:25" x14ac:dyDescent="0.3">
      <c r="F60" s="122" t="s">
        <v>218</v>
      </c>
      <c r="G60" s="524" t="s">
        <v>222</v>
      </c>
      <c r="H60" s="91"/>
      <c r="I60" s="61" t="s">
        <v>47</v>
      </c>
      <c r="J60" s="61"/>
      <c r="K60" s="61">
        <v>2</v>
      </c>
      <c r="L60" s="61">
        <v>1</v>
      </c>
      <c r="M60" s="61">
        <v>1</v>
      </c>
      <c r="N60" s="61"/>
      <c r="O60" s="61"/>
      <c r="P60" s="103">
        <v>2</v>
      </c>
      <c r="Q60" s="61"/>
      <c r="R60" s="61"/>
      <c r="S60" s="61"/>
      <c r="T60" s="61"/>
      <c r="U60" s="61"/>
      <c r="V60" s="61"/>
      <c r="W60" s="62"/>
      <c r="X60" s="62"/>
      <c r="Y60" s="62">
        <f t="shared" si="3"/>
        <v>0</v>
      </c>
    </row>
    <row r="61" spans="3:25" ht="15" thickBot="1" x14ac:dyDescent="0.35">
      <c r="F61" s="123">
        <f>F59*50</f>
        <v>250</v>
      </c>
      <c r="G61" s="512"/>
      <c r="H61" s="85">
        <f>SUM(P60:P61)</f>
        <v>3</v>
      </c>
      <c r="I61" s="81" t="s">
        <v>209</v>
      </c>
      <c r="J61" s="59"/>
      <c r="K61" s="59">
        <v>1</v>
      </c>
      <c r="L61" s="59"/>
      <c r="M61" s="59"/>
      <c r="N61" s="59"/>
      <c r="O61" s="59"/>
      <c r="P61" s="104">
        <v>1</v>
      </c>
      <c r="Q61" s="59"/>
      <c r="R61" s="59"/>
      <c r="S61" s="59"/>
      <c r="T61" s="59"/>
      <c r="U61" s="59"/>
      <c r="V61" s="59"/>
      <c r="W61" s="60"/>
      <c r="X61" s="60"/>
      <c r="Y61" s="60">
        <f t="shared" si="3"/>
        <v>0</v>
      </c>
    </row>
    <row r="62" spans="3:25" ht="15" thickBot="1" x14ac:dyDescent="0.35">
      <c r="F62" s="117"/>
      <c r="G62" s="253"/>
      <c r="H62" s="253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>
        <f>SUM(S62:T62)*$Y$6</f>
        <v>0</v>
      </c>
    </row>
    <row r="63" spans="3:25" x14ac:dyDescent="0.3">
      <c r="F63" s="111" t="s">
        <v>219</v>
      </c>
      <c r="G63" s="447" t="s">
        <v>368</v>
      </c>
      <c r="H63" s="21" t="s">
        <v>24</v>
      </c>
      <c r="I63" s="134" t="s">
        <v>145</v>
      </c>
      <c r="J63" s="142"/>
      <c r="K63" s="271"/>
      <c r="L63" s="271"/>
      <c r="M63" s="271"/>
      <c r="N63" s="271">
        <v>2</v>
      </c>
      <c r="O63" s="271"/>
      <c r="P63" s="103">
        <v>2</v>
      </c>
      <c r="Q63" s="274"/>
      <c r="R63" s="271"/>
      <c r="S63" s="271"/>
      <c r="T63" s="271"/>
      <c r="U63" s="271"/>
      <c r="V63" s="271"/>
      <c r="W63" s="62"/>
      <c r="X63" s="62"/>
      <c r="Y63" s="62">
        <f>SUM(S63:T63)*$Y$6</f>
        <v>0</v>
      </c>
    </row>
    <row r="64" spans="3:25" s="241" customFormat="1" x14ac:dyDescent="0.3">
      <c r="F64" s="112">
        <f>SUM(P63:P66)</f>
        <v>2</v>
      </c>
      <c r="G64" s="64" t="s">
        <v>108</v>
      </c>
      <c r="H64" s="53"/>
      <c r="I64" s="92"/>
      <c r="J64" s="55"/>
      <c r="K64" s="259"/>
      <c r="L64" s="259"/>
      <c r="M64" s="259"/>
      <c r="N64" s="259"/>
      <c r="O64" s="259"/>
      <c r="P64" s="82"/>
      <c r="Q64" s="259"/>
      <c r="R64" s="259"/>
      <c r="S64" s="259"/>
      <c r="T64" s="259"/>
      <c r="U64" s="259"/>
      <c r="V64" s="259"/>
      <c r="W64" s="58"/>
      <c r="X64" s="58"/>
      <c r="Y64" s="58">
        <f>SUM(S64:T64)*$Y$6</f>
        <v>0</v>
      </c>
    </row>
    <row r="65" spans="6:25" s="241" customFormat="1" x14ac:dyDescent="0.3">
      <c r="F65" s="112" t="s">
        <v>218</v>
      </c>
      <c r="G65" s="40"/>
      <c r="H65" s="53"/>
      <c r="I65" s="92"/>
      <c r="J65" s="55"/>
      <c r="K65" s="259"/>
      <c r="L65" s="259"/>
      <c r="M65" s="259"/>
      <c r="N65" s="259"/>
      <c r="O65" s="259"/>
      <c r="P65" s="82"/>
      <c r="Q65" s="259"/>
      <c r="R65" s="259"/>
      <c r="S65" s="259"/>
      <c r="T65" s="259"/>
      <c r="U65" s="259"/>
      <c r="V65" s="259"/>
      <c r="W65" s="58"/>
      <c r="X65" s="58"/>
      <c r="Y65" s="58">
        <f>SUM(S65:T65)*$Y$6</f>
        <v>0</v>
      </c>
    </row>
    <row r="66" spans="6:25" s="241" customFormat="1" ht="15" thickBot="1" x14ac:dyDescent="0.35">
      <c r="F66" s="114">
        <f>F64*50</f>
        <v>100</v>
      </c>
      <c r="G66" s="478"/>
      <c r="H66" s="479"/>
      <c r="I66" s="480"/>
      <c r="J66" s="481"/>
      <c r="K66" s="269"/>
      <c r="L66" s="269"/>
      <c r="M66" s="269"/>
      <c r="N66" s="269"/>
      <c r="O66" s="269"/>
      <c r="P66" s="104"/>
      <c r="Q66" s="269"/>
      <c r="R66" s="269"/>
      <c r="S66" s="269"/>
      <c r="T66" s="269"/>
      <c r="U66" s="269"/>
      <c r="V66" s="269"/>
      <c r="W66" s="60"/>
      <c r="X66" s="60"/>
      <c r="Y66" s="60">
        <f>SUM(S66:T66)*$Y$6</f>
        <v>0</v>
      </c>
    </row>
    <row r="67" spans="6:25" s="241" customFormat="1" ht="15" thickBot="1" x14ac:dyDescent="0.35">
      <c r="F67" s="144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482"/>
    </row>
    <row r="68" spans="6:25" s="241" customFormat="1" x14ac:dyDescent="0.3">
      <c r="F68" s="111" t="s">
        <v>219</v>
      </c>
      <c r="G68" s="447" t="s">
        <v>443</v>
      </c>
      <c r="H68" s="21"/>
      <c r="I68" s="134"/>
      <c r="J68" s="142"/>
      <c r="K68" s="271"/>
      <c r="L68" s="271"/>
      <c r="M68" s="271"/>
      <c r="N68" s="271"/>
      <c r="O68" s="271"/>
      <c r="P68" s="103"/>
      <c r="Q68" s="271"/>
      <c r="R68" s="271"/>
      <c r="S68" s="271"/>
      <c r="T68" s="271"/>
      <c r="U68" s="271"/>
      <c r="V68" s="271"/>
      <c r="W68" s="62"/>
      <c r="X68" s="62"/>
      <c r="Y68" s="62">
        <f>SUM(S68:T68)*$Y$6</f>
        <v>0</v>
      </c>
    </row>
    <row r="69" spans="6:25" x14ac:dyDescent="0.3">
      <c r="F69" s="112">
        <f>SUM(P68:P73)</f>
        <v>0</v>
      </c>
      <c r="G69" s="64"/>
      <c r="H69" s="53"/>
      <c r="I69" s="92"/>
      <c r="J69" s="55"/>
      <c r="K69" s="259"/>
      <c r="L69" s="259"/>
      <c r="M69" s="259"/>
      <c r="N69" s="259"/>
      <c r="O69" s="259"/>
      <c r="P69" s="82"/>
      <c r="Q69" s="259"/>
      <c r="R69" s="259"/>
      <c r="S69" s="259"/>
      <c r="T69" s="259"/>
      <c r="U69" s="259"/>
      <c r="V69" s="259"/>
      <c r="W69" s="58"/>
      <c r="X69" s="58"/>
      <c r="Y69" s="58">
        <f>SUM(S69:T69)*$Y$6</f>
        <v>0</v>
      </c>
    </row>
    <row r="70" spans="6:25" x14ac:dyDescent="0.3">
      <c r="F70" s="112" t="s">
        <v>218</v>
      </c>
      <c r="G70" s="40"/>
      <c r="H70" s="53"/>
      <c r="I70" s="92"/>
      <c r="J70" s="55"/>
      <c r="K70" s="259"/>
      <c r="L70" s="259"/>
      <c r="M70" s="259"/>
      <c r="N70" s="259"/>
      <c r="O70" s="259"/>
      <c r="P70" s="82"/>
      <c r="Q70" s="259"/>
      <c r="R70" s="259"/>
      <c r="S70" s="259"/>
      <c r="T70" s="259"/>
      <c r="U70" s="259"/>
      <c r="V70" s="259"/>
      <c r="W70" s="58"/>
      <c r="X70" s="58"/>
      <c r="Y70" s="58">
        <f>SUM(S70:T70)*$Y$6</f>
        <v>0</v>
      </c>
    </row>
    <row r="71" spans="6:25" ht="15" thickBot="1" x14ac:dyDescent="0.35">
      <c r="F71" s="113">
        <f>F69*50</f>
        <v>0</v>
      </c>
      <c r="G71" s="94"/>
      <c r="H71" s="109"/>
      <c r="I71" s="92"/>
      <c r="J71" s="55"/>
      <c r="K71" s="259"/>
      <c r="L71" s="259"/>
      <c r="M71" s="259"/>
      <c r="N71" s="259"/>
      <c r="O71" s="259"/>
      <c r="P71" s="82"/>
      <c r="Q71" s="259"/>
      <c r="R71" s="259"/>
      <c r="S71" s="259"/>
      <c r="T71" s="259"/>
      <c r="U71" s="259"/>
      <c r="V71" s="259"/>
      <c r="W71" s="58"/>
      <c r="X71" s="58"/>
      <c r="Y71" s="58">
        <f>SUM(S71:T71)*$Y$6</f>
        <v>0</v>
      </c>
    </row>
    <row r="72" spans="6:25" ht="15" thickBot="1" x14ac:dyDescent="0.35">
      <c r="F72" s="115"/>
      <c r="G72" s="110"/>
      <c r="H72" s="110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483">
        <f t="shared" si="3"/>
        <v>0</v>
      </c>
    </row>
    <row r="73" spans="6:25" ht="15" thickBot="1" x14ac:dyDescent="0.35">
      <c r="F73" s="396"/>
      <c r="G73" s="397" t="s">
        <v>31</v>
      </c>
      <c r="H73" s="397" t="s">
        <v>38</v>
      </c>
      <c r="I73" s="397" t="s">
        <v>8</v>
      </c>
      <c r="J73" s="398" t="s">
        <v>228</v>
      </c>
      <c r="K73" s="399" t="s">
        <v>204</v>
      </c>
      <c r="L73" s="399" t="s">
        <v>100</v>
      </c>
      <c r="M73" s="399" t="s">
        <v>205</v>
      </c>
      <c r="N73" s="399" t="s">
        <v>206</v>
      </c>
      <c r="O73" s="399" t="s">
        <v>56</v>
      </c>
      <c r="P73" s="400" t="s">
        <v>69</v>
      </c>
      <c r="Q73" s="110"/>
      <c r="R73" s="120" t="s">
        <v>8</v>
      </c>
      <c r="S73" s="187" t="s">
        <v>228</v>
      </c>
      <c r="T73" s="187" t="s">
        <v>204</v>
      </c>
      <c r="U73" s="187" t="s">
        <v>100</v>
      </c>
      <c r="V73" s="187" t="s">
        <v>205</v>
      </c>
      <c r="W73" s="187" t="s">
        <v>206</v>
      </c>
      <c r="X73" s="187" t="s">
        <v>236</v>
      </c>
      <c r="Y73" s="401" t="s">
        <v>27</v>
      </c>
    </row>
    <row r="74" spans="6:25" x14ac:dyDescent="0.3">
      <c r="F74" s="116"/>
      <c r="G74" s="448" t="s">
        <v>127</v>
      </c>
      <c r="H74" s="119" t="s">
        <v>347</v>
      </c>
      <c r="I74" s="51" t="s">
        <v>129</v>
      </c>
      <c r="J74" s="51"/>
      <c r="K74" s="51">
        <v>1</v>
      </c>
      <c r="L74" s="51">
        <v>1</v>
      </c>
      <c r="M74" s="51">
        <v>1</v>
      </c>
      <c r="N74" s="51"/>
      <c r="O74" s="51"/>
      <c r="P74" s="82">
        <v>2</v>
      </c>
      <c r="Q74" s="51" t="s">
        <v>223</v>
      </c>
      <c r="R74" s="51" t="s">
        <v>128</v>
      </c>
      <c r="S74" s="51"/>
      <c r="T74" s="51"/>
      <c r="U74" s="51">
        <v>1</v>
      </c>
      <c r="V74" s="51"/>
      <c r="W74" s="58">
        <v>1</v>
      </c>
      <c r="X74" s="58"/>
      <c r="Y74" s="58">
        <f t="shared" si="3"/>
        <v>0</v>
      </c>
    </row>
    <row r="75" spans="6:25" x14ac:dyDescent="0.3">
      <c r="F75" s="112"/>
      <c r="G75" s="63" t="s">
        <v>137</v>
      </c>
      <c r="H75" s="49"/>
      <c r="I75" s="51" t="s">
        <v>214</v>
      </c>
      <c r="J75" s="51"/>
      <c r="K75" s="51">
        <v>1</v>
      </c>
      <c r="L75" s="51"/>
      <c r="M75" s="51"/>
      <c r="N75" s="51"/>
      <c r="O75" s="51"/>
      <c r="P75" s="82">
        <v>3</v>
      </c>
      <c r="Q75" s="51" t="s">
        <v>191</v>
      </c>
      <c r="R75" s="55" t="s">
        <v>362</v>
      </c>
      <c r="S75" s="51">
        <v>2</v>
      </c>
      <c r="T75" s="51"/>
      <c r="U75" s="51">
        <v>2</v>
      </c>
      <c r="V75" s="51">
        <v>1</v>
      </c>
      <c r="W75" s="58"/>
      <c r="X75" s="58"/>
      <c r="Y75" s="58">
        <f t="shared" si="3"/>
        <v>1</v>
      </c>
    </row>
    <row r="76" spans="6:25" x14ac:dyDescent="0.3">
      <c r="F76" s="112"/>
      <c r="G76" s="54"/>
      <c r="H76" s="49"/>
      <c r="I76" s="51"/>
      <c r="J76" s="51"/>
      <c r="K76" s="51"/>
      <c r="L76" s="51"/>
      <c r="M76" s="51"/>
      <c r="N76" s="51"/>
      <c r="O76" s="51"/>
      <c r="P76" s="82">
        <v>1</v>
      </c>
      <c r="Q76" s="51" t="s">
        <v>224</v>
      </c>
      <c r="R76" s="51" t="s">
        <v>221</v>
      </c>
      <c r="S76" s="51"/>
      <c r="T76" s="51">
        <v>1</v>
      </c>
      <c r="U76" s="51">
        <v>1</v>
      </c>
      <c r="V76" s="51"/>
      <c r="W76" s="58"/>
      <c r="X76" s="58"/>
      <c r="Y76" s="58">
        <f t="shared" si="3"/>
        <v>0.5</v>
      </c>
    </row>
    <row r="77" spans="6:25" x14ac:dyDescent="0.3">
      <c r="F77" s="112" t="s">
        <v>69</v>
      </c>
      <c r="G77" s="54"/>
      <c r="H77" s="49"/>
      <c r="I77" s="51" t="s">
        <v>348</v>
      </c>
      <c r="J77" s="51"/>
      <c r="K77" s="51">
        <v>1</v>
      </c>
      <c r="L77" s="51">
        <v>1</v>
      </c>
      <c r="M77" s="51"/>
      <c r="N77" s="51"/>
      <c r="O77" s="51"/>
      <c r="P77" s="82">
        <v>2</v>
      </c>
      <c r="Q77" s="51" t="s">
        <v>225</v>
      </c>
      <c r="R77" s="51" t="s">
        <v>194</v>
      </c>
      <c r="S77" s="51"/>
      <c r="T77" s="51"/>
      <c r="U77" s="51">
        <v>1</v>
      </c>
      <c r="V77" s="51">
        <v>1</v>
      </c>
      <c r="W77" s="58"/>
      <c r="X77" s="58"/>
      <c r="Y77" s="58">
        <f t="shared" si="3"/>
        <v>0</v>
      </c>
    </row>
    <row r="78" spans="6:25" s="241" customFormat="1" x14ac:dyDescent="0.3">
      <c r="F78" s="112">
        <f>SUM(P74:P86)</f>
        <v>15</v>
      </c>
      <c r="G78" s="54"/>
      <c r="H78" s="49"/>
      <c r="I78" s="51"/>
      <c r="J78" s="51"/>
      <c r="K78" s="51"/>
      <c r="L78" s="51"/>
      <c r="M78" s="51"/>
      <c r="N78" s="51"/>
      <c r="O78" s="51"/>
      <c r="P78" s="82">
        <v>1</v>
      </c>
      <c r="Q78" s="51" t="s">
        <v>301</v>
      </c>
      <c r="R78" s="51" t="s">
        <v>194</v>
      </c>
      <c r="S78" s="51"/>
      <c r="T78" s="51"/>
      <c r="U78" s="51">
        <v>1</v>
      </c>
      <c r="V78" s="51">
        <v>1</v>
      </c>
      <c r="W78" s="58"/>
      <c r="X78" s="58"/>
      <c r="Y78" s="58">
        <f t="shared" si="3"/>
        <v>0</v>
      </c>
    </row>
    <row r="79" spans="6:25" s="241" customFormat="1" x14ac:dyDescent="0.3">
      <c r="F79" s="112" t="s">
        <v>220</v>
      </c>
      <c r="G79" s="95" t="s">
        <v>69</v>
      </c>
      <c r="H79" s="49">
        <f>SUM(P74:P86)</f>
        <v>15</v>
      </c>
      <c r="I79" s="51"/>
      <c r="J79" s="51"/>
      <c r="K79" s="51"/>
      <c r="L79" s="51"/>
      <c r="M79" s="51"/>
      <c r="N79" s="51"/>
      <c r="O79" s="51"/>
      <c r="P79" s="82">
        <v>1</v>
      </c>
      <c r="Q79" s="51" t="s">
        <v>302</v>
      </c>
      <c r="R79" s="51" t="s">
        <v>303</v>
      </c>
      <c r="S79" s="51"/>
      <c r="T79" s="51">
        <v>1</v>
      </c>
      <c r="U79" s="51">
        <v>1</v>
      </c>
      <c r="V79" s="51">
        <v>1</v>
      </c>
      <c r="W79" s="58"/>
      <c r="X79" s="58"/>
      <c r="Y79" s="58">
        <f t="shared" si="3"/>
        <v>0.5</v>
      </c>
    </row>
    <row r="80" spans="6:25" s="241" customFormat="1" x14ac:dyDescent="0.3">
      <c r="F80" s="112">
        <f>F78*50</f>
        <v>750</v>
      </c>
      <c r="G80" s="95" t="s">
        <v>218</v>
      </c>
      <c r="H80" s="49">
        <f>H79*50</f>
        <v>750</v>
      </c>
      <c r="I80" s="51"/>
      <c r="J80" s="51"/>
      <c r="K80" s="51"/>
      <c r="L80" s="51"/>
      <c r="M80" s="51"/>
      <c r="N80" s="51"/>
      <c r="O80" s="51"/>
      <c r="P80" s="82">
        <v>1</v>
      </c>
      <c r="Q80" s="51" t="s">
        <v>554</v>
      </c>
      <c r="R80" s="259" t="s">
        <v>367</v>
      </c>
      <c r="S80" s="259"/>
      <c r="T80" s="259"/>
      <c r="U80" s="259">
        <v>1</v>
      </c>
      <c r="V80" s="259">
        <v>1</v>
      </c>
      <c r="W80" s="58"/>
      <c r="X80" s="58"/>
      <c r="Y80" s="58">
        <f t="shared" si="3"/>
        <v>0</v>
      </c>
    </row>
    <row r="81" spans="6:25" s="241" customFormat="1" x14ac:dyDescent="0.3">
      <c r="F81" s="112"/>
      <c r="G81" s="95"/>
      <c r="H81" s="49"/>
      <c r="I81" s="259"/>
      <c r="J81" s="259"/>
      <c r="K81" s="259"/>
      <c r="L81" s="259"/>
      <c r="M81" s="259"/>
      <c r="N81" s="259"/>
      <c r="O81" s="259"/>
      <c r="P81" s="82">
        <v>1</v>
      </c>
      <c r="Q81" s="259" t="s">
        <v>489</v>
      </c>
      <c r="R81" s="259" t="s">
        <v>490</v>
      </c>
      <c r="S81" s="259"/>
      <c r="T81" s="259">
        <v>1</v>
      </c>
      <c r="U81" s="259"/>
      <c r="V81" s="259"/>
      <c r="W81" s="58"/>
      <c r="X81" s="58"/>
      <c r="Y81" s="58">
        <f t="shared" si="3"/>
        <v>0.5</v>
      </c>
    </row>
    <row r="82" spans="6:25" x14ac:dyDescent="0.3">
      <c r="F82" s="112"/>
      <c r="G82" s="95"/>
      <c r="H82" s="49"/>
      <c r="I82" s="259"/>
      <c r="J82" s="259"/>
      <c r="K82" s="259"/>
      <c r="L82" s="259"/>
      <c r="M82" s="259"/>
      <c r="N82" s="259"/>
      <c r="O82" s="259"/>
      <c r="P82" s="82">
        <v>2</v>
      </c>
      <c r="Q82" s="259" t="s">
        <v>489</v>
      </c>
      <c r="R82" s="259" t="s">
        <v>491</v>
      </c>
      <c r="S82" s="259"/>
      <c r="T82" s="259"/>
      <c r="U82" s="259">
        <v>2</v>
      </c>
      <c r="V82" s="259">
        <v>1</v>
      </c>
      <c r="W82" s="58"/>
      <c r="X82" s="58"/>
      <c r="Y82" s="58">
        <f t="shared" si="3"/>
        <v>0</v>
      </c>
    </row>
    <row r="83" spans="6:25" x14ac:dyDescent="0.3">
      <c r="F83" s="112"/>
      <c r="G83" s="95"/>
      <c r="H83" s="49"/>
      <c r="I83" s="259"/>
      <c r="J83" s="259"/>
      <c r="K83" s="259"/>
      <c r="L83" s="259"/>
      <c r="M83" s="259"/>
      <c r="N83" s="259"/>
      <c r="O83" s="259"/>
      <c r="P83" s="82"/>
      <c r="Q83" s="259"/>
      <c r="R83" s="259"/>
      <c r="S83" s="259"/>
      <c r="T83" s="259"/>
      <c r="U83" s="259"/>
      <c r="V83" s="259"/>
      <c r="W83" s="58"/>
      <c r="X83" s="58"/>
      <c r="Y83" s="58">
        <f t="shared" si="3"/>
        <v>0</v>
      </c>
    </row>
    <row r="84" spans="6:25" x14ac:dyDescent="0.3">
      <c r="F84" s="112"/>
      <c r="G84" s="95"/>
      <c r="H84" s="49"/>
      <c r="I84" s="259"/>
      <c r="J84" s="259"/>
      <c r="K84" s="259"/>
      <c r="L84" s="259"/>
      <c r="M84" s="259"/>
      <c r="N84" s="259"/>
      <c r="O84" s="259"/>
      <c r="P84" s="82"/>
      <c r="Q84" s="259"/>
      <c r="R84" s="259"/>
      <c r="S84" s="259"/>
      <c r="T84" s="259"/>
      <c r="U84" s="259"/>
      <c r="V84" s="259"/>
      <c r="W84" s="58"/>
      <c r="X84" s="58"/>
      <c r="Y84" s="58">
        <f t="shared" si="3"/>
        <v>0</v>
      </c>
    </row>
    <row r="85" spans="6:25" x14ac:dyDescent="0.3">
      <c r="F85" s="112"/>
      <c r="G85" s="96"/>
      <c r="H85" s="49"/>
      <c r="I85" s="51"/>
      <c r="J85" s="51"/>
      <c r="K85" s="51"/>
      <c r="L85" s="51"/>
      <c r="M85" s="51"/>
      <c r="N85" s="51"/>
      <c r="O85" s="51"/>
      <c r="P85" s="82">
        <v>1</v>
      </c>
      <c r="Q85" s="51" t="s">
        <v>402</v>
      </c>
      <c r="R85" s="51" t="s">
        <v>403</v>
      </c>
      <c r="S85" s="51"/>
      <c r="T85" s="51">
        <v>1</v>
      </c>
      <c r="U85" s="51">
        <v>1</v>
      </c>
      <c r="V85" s="51">
        <v>1</v>
      </c>
      <c r="W85" s="58"/>
      <c r="X85" s="58"/>
      <c r="Y85" s="58">
        <f t="shared" si="3"/>
        <v>0.5</v>
      </c>
    </row>
    <row r="86" spans="6:25" ht="15" thickBot="1" x14ac:dyDescent="0.35">
      <c r="F86" s="114"/>
      <c r="G86" s="97"/>
      <c r="H86" s="33"/>
      <c r="I86" s="59"/>
      <c r="J86" s="59"/>
      <c r="K86" s="59"/>
      <c r="L86" s="59"/>
      <c r="M86" s="59"/>
      <c r="N86" s="59"/>
      <c r="O86" s="59"/>
      <c r="P86" s="104"/>
      <c r="Q86" s="59"/>
      <c r="R86" s="59"/>
      <c r="S86" s="59"/>
      <c r="T86" s="59"/>
      <c r="U86" s="59"/>
      <c r="V86" s="59"/>
      <c r="W86" s="60"/>
      <c r="X86" s="60"/>
      <c r="Y86" s="60">
        <f t="shared" si="3"/>
        <v>0</v>
      </c>
    </row>
    <row r="90" spans="6:25" x14ac:dyDescent="0.3">
      <c r="H90" s="12"/>
    </row>
    <row r="91" spans="6:25" x14ac:dyDescent="0.3">
      <c r="H91" s="12"/>
    </row>
    <row r="92" spans="6:25" x14ac:dyDescent="0.3">
      <c r="H92" s="12"/>
    </row>
    <row r="93" spans="6:25" x14ac:dyDescent="0.3">
      <c r="H93" s="12"/>
    </row>
    <row r="94" spans="6:25" x14ac:dyDescent="0.3">
      <c r="H94" s="12"/>
    </row>
  </sheetData>
  <conditionalFormatting sqref="D50">
    <cfRule type="cellIs" dxfId="56" priority="4" operator="equal">
      <formula>0</formula>
    </cfRule>
    <cfRule type="cellIs" dxfId="55" priority="5" operator="lessThan">
      <formula>0</formula>
    </cfRule>
    <cfRule type="cellIs" dxfId="54" priority="6" operator="greaterThan">
      <formula>0</formula>
    </cfRule>
  </conditionalFormatting>
  <conditionalFormatting sqref="D5">
    <cfRule type="cellIs" dxfId="53" priority="1" operator="lessThan">
      <formula>0</formula>
    </cfRule>
    <cfRule type="cellIs" dxfId="52" priority="2" operator="equal">
      <formula>0</formula>
    </cfRule>
    <cfRule type="cellIs" dxfId="51" priority="3" operator="greaterThan">
      <formula>0</formula>
    </cfRule>
  </conditionalFormatting>
  <pageMargins left="0.7" right="0.7" top="0.75" bottom="0.75" header="0.3" footer="0.3"/>
  <pageSetup orientation="portrait" horizontalDpi="4294967293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0.59999389629810485"/>
    <pageSetUpPr fitToPage="1"/>
  </sheetPr>
  <dimension ref="A1:AF83"/>
  <sheetViews>
    <sheetView zoomScale="68" zoomScaleNormal="68" workbookViewId="0">
      <selection activeCell="AF57" sqref="AF57"/>
    </sheetView>
  </sheetViews>
  <sheetFormatPr defaultRowHeight="14.4" x14ac:dyDescent="0.3"/>
  <cols>
    <col min="2" max="2" width="10.6640625" customWidth="1"/>
    <col min="3" max="3" width="18.109375" customWidth="1"/>
    <col min="5" max="6" width="4.109375" customWidth="1"/>
    <col min="7" max="7" width="21.5546875" customWidth="1"/>
    <col min="8" max="8" width="5.5546875" style="52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6" customWidth="1"/>
    <col min="19" max="19" width="27.109375" customWidth="1"/>
    <col min="20" max="24" width="6" customWidth="1"/>
    <col min="26" max="26" width="6.5546875" customWidth="1"/>
    <col min="31" max="31" width="11.21875" customWidth="1"/>
  </cols>
  <sheetData>
    <row r="1" spans="1:32" ht="15" thickBot="1" x14ac:dyDescent="0.35"/>
    <row r="2" spans="1:32" ht="18" x14ac:dyDescent="0.35">
      <c r="C2" s="36" t="s">
        <v>28</v>
      </c>
      <c r="D2" s="36">
        <f>D40+D3+D4</f>
        <v>25.4</v>
      </c>
      <c r="I2" s="10" t="s">
        <v>33</v>
      </c>
      <c r="J2" s="460">
        <f>J6+T6</f>
        <v>20</v>
      </c>
      <c r="K2" s="460">
        <f>K6+U6</f>
        <v>47</v>
      </c>
      <c r="L2" s="460">
        <f>L6+V6</f>
        <v>47</v>
      </c>
      <c r="M2" s="460">
        <f>M6+W6</f>
        <v>48</v>
      </c>
      <c r="N2" s="460">
        <f>N6+X6</f>
        <v>17</v>
      </c>
      <c r="O2" s="8"/>
      <c r="P2" s="8"/>
      <c r="S2" t="b">
        <f>H12=G12/50</f>
        <v>0</v>
      </c>
      <c r="W2" s="168" t="s">
        <v>229</v>
      </c>
      <c r="X2" s="169"/>
      <c r="Y2" s="170">
        <v>0.2</v>
      </c>
      <c r="Z2" s="171"/>
      <c r="AC2" s="578" t="s">
        <v>542</v>
      </c>
      <c r="AD2" s="579"/>
      <c r="AE2" s="579"/>
      <c r="AF2" s="580">
        <f>SUM(AF4:AF9)</f>
        <v>3</v>
      </c>
    </row>
    <row r="3" spans="1:32" ht="15" thickBot="1" x14ac:dyDescent="0.35">
      <c r="B3" s="241"/>
      <c r="C3" s="34" t="s">
        <v>541</v>
      </c>
      <c r="D3" s="34">
        <f>AF2</f>
        <v>3</v>
      </c>
      <c r="W3" s="172" t="s">
        <v>227</v>
      </c>
      <c r="X3" s="173"/>
      <c r="Y3" s="174">
        <v>0.5</v>
      </c>
      <c r="AC3" s="29"/>
      <c r="AD3" s="253"/>
      <c r="AE3" s="253"/>
      <c r="AF3" s="254"/>
    </row>
    <row r="4" spans="1:32" ht="15" thickBot="1" x14ac:dyDescent="0.35">
      <c r="C4" s="34" t="s">
        <v>356</v>
      </c>
      <c r="D4" s="34"/>
      <c r="I4" s="2" t="s">
        <v>15</v>
      </c>
      <c r="J4" s="2"/>
      <c r="K4" s="2"/>
      <c r="Q4" s="99"/>
      <c r="R4" s="4"/>
      <c r="S4" s="4" t="s">
        <v>11</v>
      </c>
      <c r="T4" s="587" t="s">
        <v>10</v>
      </c>
      <c r="U4" s="587"/>
      <c r="AC4" s="29" t="s">
        <v>544</v>
      </c>
      <c r="AD4" s="253"/>
      <c r="AE4" s="253"/>
      <c r="AF4" s="254">
        <v>2</v>
      </c>
    </row>
    <row r="5" spans="1:32" ht="15.6" thickTop="1" thickBot="1" x14ac:dyDescent="0.35">
      <c r="G5" s="175" t="s">
        <v>235</v>
      </c>
      <c r="H5" s="176">
        <f>SUM(H8:H83)</f>
        <v>85</v>
      </c>
      <c r="I5" s="2" t="s">
        <v>8</v>
      </c>
      <c r="J5" s="177" t="s">
        <v>228</v>
      </c>
      <c r="K5" s="3" t="s">
        <v>204</v>
      </c>
      <c r="L5" s="3" t="s">
        <v>100</v>
      </c>
      <c r="M5" s="3" t="s">
        <v>205</v>
      </c>
      <c r="N5" s="3" t="s">
        <v>206</v>
      </c>
      <c r="O5" s="3" t="s">
        <v>27</v>
      </c>
      <c r="P5" s="3" t="s">
        <v>236</v>
      </c>
      <c r="Q5" s="99"/>
      <c r="R5" s="4"/>
      <c r="S5" s="4" t="s">
        <v>8</v>
      </c>
      <c r="T5" s="178" t="s">
        <v>228</v>
      </c>
      <c r="U5" s="5" t="s">
        <v>204</v>
      </c>
      <c r="V5" s="5" t="s">
        <v>100</v>
      </c>
      <c r="W5" s="5" t="s">
        <v>205</v>
      </c>
      <c r="X5" s="5" t="s">
        <v>206</v>
      </c>
      <c r="Y5" s="5" t="s">
        <v>27</v>
      </c>
      <c r="Z5" s="3" t="s">
        <v>236</v>
      </c>
      <c r="AC5" s="29" t="s">
        <v>543</v>
      </c>
      <c r="AD5" s="253"/>
      <c r="AE5" s="253"/>
      <c r="AF5" s="254">
        <v>1</v>
      </c>
    </row>
    <row r="6" spans="1:32" ht="15" thickBot="1" x14ac:dyDescent="0.35">
      <c r="A6" s="179"/>
      <c r="B6" s="274" t="s">
        <v>0</v>
      </c>
      <c r="C6" s="274" t="s">
        <v>4</v>
      </c>
      <c r="D6" s="272" t="s">
        <v>5</v>
      </c>
      <c r="G6" s="180" t="s">
        <v>213</v>
      </c>
      <c r="H6" s="181">
        <f>H5*50</f>
        <v>4250</v>
      </c>
      <c r="J6" s="8">
        <f t="shared" ref="J6:O6" si="0">SUM(J9:J152)</f>
        <v>2</v>
      </c>
      <c r="K6" s="244">
        <f t="shared" si="0"/>
        <v>16</v>
      </c>
      <c r="L6" s="244">
        <f t="shared" si="0"/>
        <v>33</v>
      </c>
      <c r="M6" s="244">
        <f t="shared" si="0"/>
        <v>35</v>
      </c>
      <c r="N6" s="244">
        <f t="shared" si="0"/>
        <v>16</v>
      </c>
      <c r="O6" s="244">
        <f t="shared" si="0"/>
        <v>9</v>
      </c>
      <c r="P6" s="8"/>
      <c r="Q6" s="99"/>
      <c r="T6" s="8">
        <f t="shared" ref="T6:Y6" si="1">SUM(T9:T152)</f>
        <v>18</v>
      </c>
      <c r="U6" s="244">
        <f t="shared" si="1"/>
        <v>31</v>
      </c>
      <c r="V6" s="244">
        <f t="shared" si="1"/>
        <v>14</v>
      </c>
      <c r="W6" s="244">
        <f t="shared" si="1"/>
        <v>13</v>
      </c>
      <c r="X6" s="244">
        <f t="shared" si="1"/>
        <v>1</v>
      </c>
      <c r="Y6" s="244">
        <f t="shared" si="1"/>
        <v>25</v>
      </c>
      <c r="Z6" s="8"/>
      <c r="AC6" s="29"/>
      <c r="AD6" s="253"/>
      <c r="AE6" s="253"/>
      <c r="AF6" s="254"/>
    </row>
    <row r="7" spans="1:32" ht="15.6" thickTop="1" thickBot="1" x14ac:dyDescent="0.35">
      <c r="A7" s="182">
        <v>5</v>
      </c>
      <c r="B7" s="253" t="s">
        <v>156</v>
      </c>
      <c r="C7" s="253" t="s">
        <v>157</v>
      </c>
      <c r="D7" s="254">
        <v>13</v>
      </c>
      <c r="Q7" s="99"/>
      <c r="AC7" s="29"/>
      <c r="AD7" s="253"/>
      <c r="AE7" s="253"/>
      <c r="AF7" s="254"/>
    </row>
    <row r="8" spans="1:32" ht="15" thickBot="1" x14ac:dyDescent="0.35">
      <c r="A8" s="29">
        <v>5</v>
      </c>
      <c r="B8" s="253" t="s">
        <v>158</v>
      </c>
      <c r="C8" s="253" t="s">
        <v>159</v>
      </c>
      <c r="D8" s="254">
        <v>15</v>
      </c>
      <c r="G8" s="183" t="s">
        <v>51</v>
      </c>
      <c r="H8" s="184" t="s">
        <v>69</v>
      </c>
      <c r="I8" s="185" t="s">
        <v>237</v>
      </c>
      <c r="J8" s="186" t="s">
        <v>228</v>
      </c>
      <c r="K8" s="187" t="s">
        <v>204</v>
      </c>
      <c r="L8" s="187" t="s">
        <v>100</v>
      </c>
      <c r="M8" s="187" t="s">
        <v>205</v>
      </c>
      <c r="N8" s="187" t="s">
        <v>206</v>
      </c>
      <c r="O8" s="188" t="s">
        <v>27</v>
      </c>
      <c r="P8" s="188" t="s">
        <v>236</v>
      </c>
      <c r="Q8" s="189"/>
      <c r="R8" s="185"/>
      <c r="S8" s="185" t="s">
        <v>237</v>
      </c>
      <c r="T8" s="186" t="s">
        <v>228</v>
      </c>
      <c r="U8" s="187" t="s">
        <v>204</v>
      </c>
      <c r="V8" s="187" t="s">
        <v>100</v>
      </c>
      <c r="W8" s="187" t="s">
        <v>205</v>
      </c>
      <c r="X8" s="187" t="s">
        <v>206</v>
      </c>
      <c r="Y8" s="188" t="s">
        <v>27</v>
      </c>
      <c r="Z8" s="188" t="s">
        <v>236</v>
      </c>
      <c r="AC8" s="29"/>
      <c r="AD8" s="253"/>
      <c r="AE8" s="253"/>
      <c r="AF8" s="254"/>
    </row>
    <row r="9" spans="1:32" ht="15" thickBot="1" x14ac:dyDescent="0.35">
      <c r="A9" s="29">
        <v>4</v>
      </c>
      <c r="B9" s="253" t="s">
        <v>361</v>
      </c>
      <c r="C9" s="253" t="s">
        <v>187</v>
      </c>
      <c r="D9" s="254">
        <v>13</v>
      </c>
      <c r="G9" s="75" t="s">
        <v>238</v>
      </c>
      <c r="H9" s="190" t="s">
        <v>239</v>
      </c>
      <c r="I9" s="461" t="s">
        <v>410</v>
      </c>
      <c r="J9" s="192"/>
      <c r="K9" s="26"/>
      <c r="L9" s="192"/>
      <c r="M9" s="192"/>
      <c r="N9" s="193"/>
      <c r="O9" s="194"/>
      <c r="P9" s="194"/>
      <c r="Q9" s="195"/>
      <c r="R9" s="191"/>
      <c r="S9" s="461" t="s">
        <v>410</v>
      </c>
      <c r="T9" s="192"/>
      <c r="U9" s="192"/>
      <c r="V9" s="192"/>
      <c r="W9" s="192"/>
      <c r="X9" s="193"/>
      <c r="Y9" s="194"/>
      <c r="Z9" s="194"/>
      <c r="AC9" s="30"/>
      <c r="AD9" s="261"/>
      <c r="AE9" s="261"/>
      <c r="AF9" s="262"/>
    </row>
    <row r="10" spans="1:32" x14ac:dyDescent="0.3">
      <c r="A10" s="29"/>
      <c r="B10" s="253"/>
      <c r="C10" s="253" t="s">
        <v>6</v>
      </c>
      <c r="D10" s="254">
        <v>0</v>
      </c>
      <c r="G10" s="71" t="s">
        <v>240</v>
      </c>
      <c r="H10" s="196" t="s">
        <v>239</v>
      </c>
      <c r="I10" s="191" t="s">
        <v>355</v>
      </c>
      <c r="J10" s="192"/>
      <c r="K10" s="26"/>
      <c r="L10" s="192">
        <v>2</v>
      </c>
      <c r="M10" s="192">
        <v>2</v>
      </c>
      <c r="N10" s="193">
        <v>2</v>
      </c>
      <c r="O10" s="198"/>
      <c r="P10" s="198"/>
      <c r="Q10" s="195"/>
      <c r="R10" s="197"/>
      <c r="S10" s="197"/>
      <c r="T10" s="26"/>
      <c r="U10" s="26"/>
      <c r="V10" s="26"/>
      <c r="W10" s="26"/>
      <c r="X10" s="39"/>
      <c r="Y10" s="198"/>
      <c r="Z10" s="198"/>
    </row>
    <row r="11" spans="1:32" x14ac:dyDescent="0.3">
      <c r="A11" s="29"/>
      <c r="B11" s="253" t="s">
        <v>2</v>
      </c>
      <c r="D11" s="254">
        <v>0</v>
      </c>
      <c r="G11" s="202" t="s">
        <v>218</v>
      </c>
      <c r="H11" s="196" t="s">
        <v>239</v>
      </c>
      <c r="I11" s="197"/>
      <c r="J11" s="26"/>
      <c r="K11" s="26"/>
      <c r="L11" s="26"/>
      <c r="M11" s="26"/>
      <c r="N11" s="39"/>
      <c r="O11" s="198"/>
      <c r="P11" s="198"/>
      <c r="Q11" s="195"/>
      <c r="R11" s="197"/>
      <c r="S11" s="197"/>
      <c r="T11" s="26"/>
      <c r="U11" s="26"/>
      <c r="V11" s="26"/>
      <c r="W11" s="26"/>
      <c r="X11" s="39"/>
      <c r="Y11" s="198"/>
      <c r="Z11" s="198"/>
    </row>
    <row r="12" spans="1:32" ht="15" thickBot="1" x14ac:dyDescent="0.35">
      <c r="A12" s="29"/>
      <c r="B12" s="253" t="s">
        <v>55</v>
      </c>
      <c r="C12" s="253" t="s">
        <v>163</v>
      </c>
      <c r="D12" s="254"/>
      <c r="F12">
        <f>G12/50</f>
        <v>73</v>
      </c>
      <c r="G12" s="202">
        <f>SUM(H9:H72)*50</f>
        <v>3650</v>
      </c>
      <c r="H12" s="196"/>
      <c r="I12" s="197">
        <f>G12/50</f>
        <v>73</v>
      </c>
      <c r="J12" s="26"/>
      <c r="K12" s="26"/>
      <c r="L12" s="26"/>
      <c r="M12" s="26"/>
      <c r="N12" s="39"/>
      <c r="O12" s="198"/>
      <c r="P12" s="198"/>
      <c r="Q12" s="195"/>
      <c r="R12" s="197"/>
      <c r="S12" s="197"/>
      <c r="T12" s="26"/>
      <c r="U12" s="26"/>
      <c r="V12" s="26"/>
      <c r="W12" s="26"/>
      <c r="X12" s="39"/>
      <c r="Y12" s="198"/>
      <c r="Z12" s="198"/>
    </row>
    <row r="13" spans="1:32" ht="15" thickBot="1" x14ac:dyDescent="0.35">
      <c r="A13" s="29"/>
      <c r="B13" s="367" t="s">
        <v>165</v>
      </c>
      <c r="C13" s="253"/>
      <c r="D13" s="254"/>
      <c r="G13" s="72" t="s">
        <v>241</v>
      </c>
      <c r="H13" s="184" t="s">
        <v>69</v>
      </c>
      <c r="I13" s="185" t="s">
        <v>237</v>
      </c>
      <c r="J13" s="186" t="s">
        <v>228</v>
      </c>
      <c r="K13" s="187" t="s">
        <v>204</v>
      </c>
      <c r="L13" s="187" t="s">
        <v>100</v>
      </c>
      <c r="M13" s="187" t="s">
        <v>205</v>
      </c>
      <c r="N13" s="187" t="s">
        <v>206</v>
      </c>
      <c r="O13" s="188" t="s">
        <v>27</v>
      </c>
      <c r="P13" s="188" t="s">
        <v>236</v>
      </c>
      <c r="Q13" s="189"/>
      <c r="R13" s="185"/>
      <c r="S13" s="185" t="s">
        <v>237</v>
      </c>
      <c r="T13" s="186" t="s">
        <v>228</v>
      </c>
      <c r="U13" s="187" t="s">
        <v>204</v>
      </c>
      <c r="V13" s="187" t="s">
        <v>100</v>
      </c>
      <c r="W13" s="187" t="s">
        <v>205</v>
      </c>
      <c r="X13" s="187" t="s">
        <v>206</v>
      </c>
      <c r="Y13" s="188" t="s">
        <v>27</v>
      </c>
      <c r="Z13" s="188" t="s">
        <v>236</v>
      </c>
    </row>
    <row r="14" spans="1:32" ht="15" thickBot="1" x14ac:dyDescent="0.35">
      <c r="A14" s="29"/>
      <c r="B14" s="253"/>
      <c r="C14" s="258" t="s">
        <v>7</v>
      </c>
      <c r="D14" s="199">
        <f>SUM(D7:D13)</f>
        <v>41</v>
      </c>
      <c r="G14" s="74" t="s">
        <v>161</v>
      </c>
      <c r="H14" s="121" t="s">
        <v>239</v>
      </c>
      <c r="I14" s="155" t="s">
        <v>44</v>
      </c>
      <c r="J14" s="137"/>
      <c r="K14" s="137"/>
      <c r="L14" s="137">
        <v>1</v>
      </c>
      <c r="M14" s="137">
        <v>1</v>
      </c>
      <c r="N14" s="153"/>
      <c r="O14" s="156"/>
      <c r="P14" s="156"/>
      <c r="Q14" s="200"/>
      <c r="R14" s="201"/>
      <c r="S14" s="201" t="s">
        <v>409</v>
      </c>
      <c r="T14" s="137"/>
      <c r="U14" s="137"/>
      <c r="V14" s="137">
        <v>2</v>
      </c>
      <c r="W14" s="137">
        <v>2</v>
      </c>
      <c r="X14" s="153"/>
      <c r="Y14" s="156"/>
      <c r="Z14" s="156"/>
    </row>
    <row r="15" spans="1:32" ht="15.6" thickTop="1" thickBot="1" x14ac:dyDescent="0.35">
      <c r="A15" s="30"/>
      <c r="B15" s="261"/>
      <c r="C15" s="261"/>
      <c r="D15" s="262"/>
      <c r="G15" s="202" t="s">
        <v>242</v>
      </c>
      <c r="H15" s="203" t="s">
        <v>239</v>
      </c>
      <c r="I15" s="201" t="s">
        <v>193</v>
      </c>
      <c r="J15" s="137"/>
      <c r="K15" s="137"/>
      <c r="L15" s="137">
        <v>2</v>
      </c>
      <c r="M15" s="137">
        <v>2</v>
      </c>
      <c r="N15" s="206"/>
      <c r="O15" s="207"/>
      <c r="P15" s="207"/>
      <c r="Q15" s="208"/>
      <c r="R15" s="235"/>
      <c r="S15" s="235"/>
      <c r="T15" s="236"/>
      <c r="U15" s="236"/>
      <c r="V15" s="236"/>
      <c r="W15" s="236"/>
      <c r="X15" s="106"/>
      <c r="Y15" s="207"/>
      <c r="Z15" s="207"/>
    </row>
    <row r="16" spans="1:32" ht="15.6" thickTop="1" thickBot="1" x14ac:dyDescent="0.35">
      <c r="G16" s="477">
        <f>SUM(H16:H28)</f>
        <v>20</v>
      </c>
      <c r="H16" s="370">
        <f>MAX(K16:N16)+MAX(U16:X16)</f>
        <v>2</v>
      </c>
      <c r="I16" s="370" t="s">
        <v>162</v>
      </c>
      <c r="J16" s="370"/>
      <c r="K16" s="370"/>
      <c r="L16" s="370">
        <v>1</v>
      </c>
      <c r="M16" s="370">
        <v>1</v>
      </c>
      <c r="N16" s="370">
        <v>2</v>
      </c>
      <c r="O16" s="370">
        <f>(J16+K16)*$Y$3</f>
        <v>0</v>
      </c>
      <c r="P16" s="370"/>
      <c r="Q16" s="471"/>
      <c r="R16" s="276" t="s">
        <v>164</v>
      </c>
      <c r="S16" s="349" t="s">
        <v>565</v>
      </c>
      <c r="T16" s="348">
        <v>3</v>
      </c>
      <c r="U16" s="348"/>
      <c r="V16" s="348"/>
      <c r="W16" s="348"/>
      <c r="X16" s="474"/>
      <c r="Y16" s="288">
        <f>(T16+U16)*$Y$3</f>
        <v>1.5</v>
      </c>
      <c r="Z16" s="211"/>
    </row>
    <row r="17" spans="1:26" ht="15.6" thickTop="1" thickBot="1" x14ac:dyDescent="0.35">
      <c r="A17" s="28" t="s">
        <v>19</v>
      </c>
      <c r="B17" s="86"/>
      <c r="C17" s="86" t="s">
        <v>13</v>
      </c>
      <c r="D17" s="215">
        <f>(J6+K6)*$Y$3</f>
        <v>9</v>
      </c>
      <c r="G17" s="370"/>
      <c r="H17" s="370">
        <f t="shared" ref="H17:H28" si="2">MAX(K17:N17)+MAX(U17:X17)</f>
        <v>2</v>
      </c>
      <c r="I17" s="370"/>
      <c r="J17" s="370"/>
      <c r="K17" s="370"/>
      <c r="L17" s="370"/>
      <c r="M17" s="370"/>
      <c r="N17" s="370"/>
      <c r="O17" s="370">
        <f t="shared" ref="O17:O28" si="3">(J17+K17)*$Y$3</f>
        <v>0</v>
      </c>
      <c r="P17" s="370"/>
      <c r="Q17" s="471"/>
      <c r="R17" s="465"/>
      <c r="S17" s="65" t="s">
        <v>408</v>
      </c>
      <c r="T17" s="66"/>
      <c r="U17" s="66">
        <v>2</v>
      </c>
      <c r="V17" s="66"/>
      <c r="W17" s="66"/>
      <c r="X17" s="133"/>
      <c r="Y17" s="307">
        <f t="shared" ref="Y17:Y28" si="4">(T17+U17)*$Y$3</f>
        <v>1</v>
      </c>
      <c r="Z17" s="216"/>
    </row>
    <row r="18" spans="1:26" ht="15.6" thickTop="1" thickBot="1" x14ac:dyDescent="0.35">
      <c r="A18" s="29"/>
      <c r="C18" s="6" t="s">
        <v>14</v>
      </c>
      <c r="D18" s="217">
        <f>(J6+K6+T6+U6)*$Y$2</f>
        <v>13.4</v>
      </c>
      <c r="G18" s="370"/>
      <c r="H18" s="370">
        <f t="shared" si="2"/>
        <v>1</v>
      </c>
      <c r="I18" s="370" t="s">
        <v>52</v>
      </c>
      <c r="J18" s="370"/>
      <c r="K18" s="370"/>
      <c r="L18" s="370">
        <v>1</v>
      </c>
      <c r="M18" s="370"/>
      <c r="N18" s="370"/>
      <c r="O18" s="370">
        <f t="shared" si="3"/>
        <v>0</v>
      </c>
      <c r="P18" s="370"/>
      <c r="Q18" s="471"/>
      <c r="R18" s="465"/>
      <c r="S18" s="65" t="s">
        <v>295</v>
      </c>
      <c r="T18" s="66">
        <v>2</v>
      </c>
      <c r="U18" s="66"/>
      <c r="V18" s="66"/>
      <c r="W18" s="66"/>
      <c r="X18" s="133"/>
      <c r="Y18" s="307">
        <f t="shared" si="4"/>
        <v>1</v>
      </c>
      <c r="Z18" s="216"/>
    </row>
    <row r="19" spans="1:26" ht="15.6" thickTop="1" thickBot="1" x14ac:dyDescent="0.35">
      <c r="A19" s="30"/>
      <c r="B19" s="88"/>
      <c r="C19" s="218" t="s">
        <v>7</v>
      </c>
      <c r="D19" s="219">
        <f>SUM(D17:D18)</f>
        <v>22.4</v>
      </c>
      <c r="G19" s="370"/>
      <c r="H19" s="370">
        <f t="shared" si="2"/>
        <v>2</v>
      </c>
      <c r="I19" s="370" t="s">
        <v>321</v>
      </c>
      <c r="J19" s="370"/>
      <c r="K19" s="370"/>
      <c r="L19" s="370"/>
      <c r="M19" s="370">
        <v>2</v>
      </c>
      <c r="N19" s="370"/>
      <c r="O19" s="370">
        <f t="shared" si="3"/>
        <v>0</v>
      </c>
      <c r="P19" s="370"/>
      <c r="Q19" s="471"/>
      <c r="R19" s="465"/>
      <c r="S19" s="559" t="s">
        <v>564</v>
      </c>
      <c r="T19" s="546">
        <v>3</v>
      </c>
      <c r="U19" s="546"/>
      <c r="V19" s="66"/>
      <c r="W19" s="66"/>
      <c r="X19" s="133"/>
      <c r="Y19" s="307">
        <f t="shared" si="4"/>
        <v>1.5</v>
      </c>
      <c r="Z19" s="216"/>
    </row>
    <row r="20" spans="1:26" ht="15.6" thickTop="1" thickBot="1" x14ac:dyDescent="0.35">
      <c r="G20" s="371" t="s">
        <v>326</v>
      </c>
      <c r="H20" s="370">
        <f t="shared" si="2"/>
        <v>3</v>
      </c>
      <c r="I20" s="370" t="s">
        <v>106</v>
      </c>
      <c r="J20" s="370"/>
      <c r="K20" s="370"/>
      <c r="L20" s="370">
        <v>1</v>
      </c>
      <c r="M20" s="370">
        <v>1</v>
      </c>
      <c r="N20" s="370"/>
      <c r="O20" s="370">
        <f t="shared" si="3"/>
        <v>0</v>
      </c>
      <c r="P20" s="370"/>
      <c r="Q20" s="471"/>
      <c r="R20" s="465"/>
      <c r="S20" s="559" t="s">
        <v>526</v>
      </c>
      <c r="T20" s="546"/>
      <c r="U20" s="546">
        <v>2</v>
      </c>
      <c r="V20" s="66"/>
      <c r="W20" s="66"/>
      <c r="X20" s="133"/>
      <c r="Y20" s="307">
        <f t="shared" si="4"/>
        <v>1</v>
      </c>
      <c r="Z20" s="216"/>
    </row>
    <row r="21" spans="1:26" ht="15.6" thickTop="1" thickBot="1" x14ac:dyDescent="0.35">
      <c r="A21" s="220" t="s">
        <v>243</v>
      </c>
      <c r="B21" s="274"/>
      <c r="C21" s="274"/>
      <c r="D21" s="272"/>
      <c r="G21" s="371" t="s">
        <v>326</v>
      </c>
      <c r="H21" s="370">
        <f t="shared" si="2"/>
        <v>3</v>
      </c>
      <c r="I21" s="370" t="s">
        <v>95</v>
      </c>
      <c r="J21" s="370"/>
      <c r="K21" s="370"/>
      <c r="L21" s="370">
        <v>1</v>
      </c>
      <c r="M21" s="370">
        <v>2</v>
      </c>
      <c r="N21" s="370"/>
      <c r="O21" s="370">
        <f t="shared" si="3"/>
        <v>0</v>
      </c>
      <c r="P21" s="370"/>
      <c r="Q21" s="471"/>
      <c r="R21" s="476"/>
      <c r="S21" s="65" t="s">
        <v>166</v>
      </c>
      <c r="T21" s="66"/>
      <c r="U21" s="66">
        <v>1</v>
      </c>
      <c r="V21" s="69"/>
      <c r="W21" s="69"/>
      <c r="X21" s="475"/>
      <c r="Y21" s="307">
        <f t="shared" si="4"/>
        <v>0.5</v>
      </c>
      <c r="Z21" s="216"/>
    </row>
    <row r="22" spans="1:26" ht="15.6" thickTop="1" thickBot="1" x14ac:dyDescent="0.35">
      <c r="A22" s="221"/>
      <c r="B22" s="157" t="s">
        <v>232</v>
      </c>
      <c r="C22" s="157"/>
      <c r="D22" s="158"/>
      <c r="G22" s="371" t="s">
        <v>326</v>
      </c>
      <c r="H22" s="370">
        <f t="shared" si="2"/>
        <v>0</v>
      </c>
      <c r="I22" s="370"/>
      <c r="J22" s="370"/>
      <c r="K22" s="370"/>
      <c r="L22" s="370"/>
      <c r="M22" s="370"/>
      <c r="N22" s="370"/>
      <c r="O22" s="370">
        <f t="shared" si="3"/>
        <v>0</v>
      </c>
      <c r="P22" s="370"/>
      <c r="Q22" s="471"/>
      <c r="R22" s="484" t="s">
        <v>85</v>
      </c>
      <c r="S22" s="473" t="s">
        <v>168</v>
      </c>
      <c r="T22" s="348">
        <v>1</v>
      </c>
      <c r="U22" s="348"/>
      <c r="V22" s="348"/>
      <c r="W22" s="348"/>
      <c r="X22" s="474"/>
      <c r="Y22" s="307">
        <f t="shared" si="4"/>
        <v>0.5</v>
      </c>
      <c r="Z22" s="216"/>
    </row>
    <row r="23" spans="1:26" ht="15.6" thickTop="1" thickBot="1" x14ac:dyDescent="0.35">
      <c r="A23" s="29"/>
      <c r="B23" s="159"/>
      <c r="C23" s="24" t="s">
        <v>20</v>
      </c>
      <c r="D23" s="368">
        <f>B23*0.5</f>
        <v>0</v>
      </c>
      <c r="G23" s="371" t="s">
        <v>326</v>
      </c>
      <c r="H23" s="370">
        <f t="shared" si="2"/>
        <v>1</v>
      </c>
      <c r="I23" s="370"/>
      <c r="J23" s="370"/>
      <c r="K23" s="370"/>
      <c r="L23" s="370"/>
      <c r="M23" s="370"/>
      <c r="N23" s="370"/>
      <c r="O23" s="370">
        <f t="shared" si="3"/>
        <v>0</v>
      </c>
      <c r="P23" s="370"/>
      <c r="Q23" s="471"/>
      <c r="R23" s="465"/>
      <c r="S23" s="357" t="s">
        <v>43</v>
      </c>
      <c r="T23" s="66"/>
      <c r="U23" s="66">
        <v>1</v>
      </c>
      <c r="V23" s="66"/>
      <c r="W23" s="66"/>
      <c r="X23" s="133"/>
      <c r="Y23" s="307">
        <f t="shared" si="4"/>
        <v>0.5</v>
      </c>
      <c r="Z23" s="216"/>
    </row>
    <row r="24" spans="1:26" ht="15.6" thickTop="1" thickBot="1" x14ac:dyDescent="0.35">
      <c r="A24" s="29"/>
      <c r="B24" s="159">
        <v>0</v>
      </c>
      <c r="C24" s="24" t="s">
        <v>21</v>
      </c>
      <c r="D24" s="368">
        <f>B24</f>
        <v>0</v>
      </c>
      <c r="G24" s="371" t="s">
        <v>326</v>
      </c>
      <c r="H24" s="370">
        <f t="shared" si="2"/>
        <v>2</v>
      </c>
      <c r="I24" s="370" t="s">
        <v>186</v>
      </c>
      <c r="J24" s="370">
        <v>1</v>
      </c>
      <c r="K24" s="370">
        <v>2</v>
      </c>
      <c r="L24" s="370"/>
      <c r="M24" s="370"/>
      <c r="N24" s="370"/>
      <c r="O24" s="370">
        <f t="shared" si="3"/>
        <v>1.5</v>
      </c>
      <c r="P24" s="370"/>
      <c r="Q24" s="471"/>
      <c r="R24" s="465"/>
      <c r="S24" s="357" t="s">
        <v>190</v>
      </c>
      <c r="T24" s="66">
        <v>1</v>
      </c>
      <c r="U24" s="66"/>
      <c r="V24" s="66"/>
      <c r="W24" s="66"/>
      <c r="X24" s="133"/>
      <c r="Y24" s="307">
        <f t="shared" si="4"/>
        <v>0.5</v>
      </c>
      <c r="Z24" s="216"/>
    </row>
    <row r="25" spans="1:26" ht="15.6" thickTop="1" thickBot="1" x14ac:dyDescent="0.35">
      <c r="A25" s="29"/>
      <c r="B25" s="159">
        <v>2</v>
      </c>
      <c r="C25" s="24" t="s">
        <v>22</v>
      </c>
      <c r="D25" s="368">
        <f>B25</f>
        <v>2</v>
      </c>
      <c r="G25" s="371" t="s">
        <v>326</v>
      </c>
      <c r="H25" s="370">
        <f t="shared" si="2"/>
        <v>1</v>
      </c>
      <c r="I25" s="370"/>
      <c r="J25" s="370"/>
      <c r="K25" s="370"/>
      <c r="L25" s="370"/>
      <c r="M25" s="370"/>
      <c r="N25" s="370"/>
      <c r="O25" s="370">
        <f t="shared" si="3"/>
        <v>0</v>
      </c>
      <c r="P25" s="370"/>
      <c r="Q25" s="471"/>
      <c r="R25" s="476"/>
      <c r="S25" s="468" t="s">
        <v>197</v>
      </c>
      <c r="T25" s="69"/>
      <c r="U25" s="69">
        <v>1</v>
      </c>
      <c r="V25" s="69"/>
      <c r="W25" s="69"/>
      <c r="X25" s="475"/>
      <c r="Y25" s="307">
        <f t="shared" si="4"/>
        <v>0.5</v>
      </c>
      <c r="Z25" s="216"/>
    </row>
    <row r="26" spans="1:26" ht="15.6" thickTop="1" thickBot="1" x14ac:dyDescent="0.35">
      <c r="A26" s="29"/>
      <c r="B26" s="159">
        <v>4</v>
      </c>
      <c r="C26" s="24" t="s">
        <v>23</v>
      </c>
      <c r="D26" s="368">
        <f>B26</f>
        <v>4</v>
      </c>
      <c r="G26" s="370"/>
      <c r="H26" s="370">
        <f t="shared" si="2"/>
        <v>0</v>
      </c>
      <c r="I26" s="370"/>
      <c r="J26" s="370"/>
      <c r="K26" s="370"/>
      <c r="L26" s="370"/>
      <c r="M26" s="370"/>
      <c r="N26" s="370"/>
      <c r="O26" s="370">
        <f t="shared" si="3"/>
        <v>0</v>
      </c>
      <c r="P26" s="370"/>
      <c r="Q26" s="370"/>
      <c r="R26" s="472"/>
      <c r="S26" s="472"/>
      <c r="T26" s="472"/>
      <c r="U26" s="472"/>
      <c r="V26" s="472"/>
      <c r="W26" s="472"/>
      <c r="X26" s="472"/>
      <c r="Y26" s="307">
        <f t="shared" si="4"/>
        <v>0</v>
      </c>
      <c r="Z26" s="216"/>
    </row>
    <row r="27" spans="1:26" ht="15.6" thickTop="1" thickBot="1" x14ac:dyDescent="0.35">
      <c r="A27" s="30"/>
      <c r="B27" s="160"/>
      <c r="C27" s="161" t="s">
        <v>25</v>
      </c>
      <c r="D27" s="162">
        <f>SUM(D23:D26)</f>
        <v>6</v>
      </c>
      <c r="G27" s="370"/>
      <c r="H27" s="370">
        <f t="shared" si="2"/>
        <v>3</v>
      </c>
      <c r="I27" s="370"/>
      <c r="J27" s="370"/>
      <c r="K27" s="370"/>
      <c r="L27" s="370"/>
      <c r="M27" s="370"/>
      <c r="N27" s="370"/>
      <c r="O27" s="370">
        <f t="shared" si="3"/>
        <v>0</v>
      </c>
      <c r="P27" s="370"/>
      <c r="Q27" s="370"/>
      <c r="R27" s="370" t="s">
        <v>230</v>
      </c>
      <c r="S27" s="370" t="s">
        <v>318</v>
      </c>
      <c r="T27" s="370"/>
      <c r="U27" s="370">
        <v>3</v>
      </c>
      <c r="V27" s="370">
        <v>1</v>
      </c>
      <c r="W27" s="370"/>
      <c r="X27" s="370"/>
      <c r="Y27" s="307">
        <f t="shared" si="4"/>
        <v>1.5</v>
      </c>
      <c r="Z27" s="216"/>
    </row>
    <row r="28" spans="1:26" ht="15.6" thickTop="1" thickBot="1" x14ac:dyDescent="0.35">
      <c r="G28" s="370"/>
      <c r="H28" s="370">
        <f t="shared" si="2"/>
        <v>0</v>
      </c>
      <c r="I28" s="370"/>
      <c r="J28" s="370"/>
      <c r="K28" s="370"/>
      <c r="L28" s="370"/>
      <c r="M28" s="370"/>
      <c r="N28" s="370"/>
      <c r="O28" s="370">
        <f t="shared" si="3"/>
        <v>0</v>
      </c>
      <c r="P28" s="370"/>
      <c r="Q28" s="370"/>
      <c r="R28" s="370"/>
      <c r="S28" s="370"/>
      <c r="T28" s="370"/>
      <c r="U28" s="370"/>
      <c r="V28" s="370"/>
      <c r="W28" s="370"/>
      <c r="X28" s="370"/>
      <c r="Y28" s="307">
        <f t="shared" si="4"/>
        <v>0</v>
      </c>
      <c r="Z28" s="216"/>
    </row>
    <row r="29" spans="1:26" ht="15.6" thickTop="1" thickBot="1" x14ac:dyDescent="0.35">
      <c r="A29" s="220" t="s">
        <v>244</v>
      </c>
      <c r="B29" s="86"/>
      <c r="C29" s="86"/>
      <c r="D29" s="15"/>
      <c r="G29" s="183" t="s">
        <v>245</v>
      </c>
      <c r="H29" s="184" t="s">
        <v>69</v>
      </c>
      <c r="I29" s="185" t="s">
        <v>237</v>
      </c>
      <c r="J29" s="186" t="s">
        <v>228</v>
      </c>
      <c r="K29" s="187" t="s">
        <v>204</v>
      </c>
      <c r="L29" s="187" t="s">
        <v>100</v>
      </c>
      <c r="M29" s="187" t="s">
        <v>205</v>
      </c>
      <c r="N29" s="187" t="s">
        <v>206</v>
      </c>
      <c r="O29" s="188" t="s">
        <v>27</v>
      </c>
      <c r="P29" s="188" t="s">
        <v>236</v>
      </c>
      <c r="Q29" s="189"/>
      <c r="R29" s="185" t="s">
        <v>41</v>
      </c>
      <c r="S29" s="185" t="s">
        <v>237</v>
      </c>
      <c r="T29" s="186" t="s">
        <v>228</v>
      </c>
      <c r="U29" s="187" t="s">
        <v>204</v>
      </c>
      <c r="V29" s="187" t="s">
        <v>100</v>
      </c>
      <c r="W29" s="187" t="s">
        <v>205</v>
      </c>
      <c r="X29" s="187" t="s">
        <v>206</v>
      </c>
      <c r="Y29" s="188" t="s">
        <v>27</v>
      </c>
      <c r="Z29" s="188" t="s">
        <v>236</v>
      </c>
    </row>
    <row r="30" spans="1:26" ht="15" thickBot="1" x14ac:dyDescent="0.35">
      <c r="A30" s="221"/>
      <c r="C30" t="s">
        <v>26</v>
      </c>
      <c r="D30" s="17">
        <f>P2</f>
        <v>0</v>
      </c>
      <c r="G30" s="75" t="s">
        <v>161</v>
      </c>
      <c r="H30" s="118" t="s">
        <v>239</v>
      </c>
      <c r="I30" s="201" t="s">
        <v>343</v>
      </c>
      <c r="J30" s="137"/>
      <c r="K30" s="137"/>
      <c r="L30" s="137">
        <v>2</v>
      </c>
      <c r="M30" s="137">
        <v>2</v>
      </c>
      <c r="N30" s="153"/>
      <c r="O30" s="156"/>
      <c r="P30" s="156"/>
      <c r="Q30" s="200"/>
      <c r="R30" s="201"/>
      <c r="S30" s="539" t="s">
        <v>409</v>
      </c>
      <c r="T30" s="137"/>
      <c r="U30" s="137"/>
      <c r="V30" s="137">
        <v>2</v>
      </c>
      <c r="W30" s="137">
        <v>2</v>
      </c>
      <c r="X30" s="153"/>
      <c r="Y30" s="156"/>
      <c r="Z30" s="156"/>
    </row>
    <row r="31" spans="1:26" ht="15" thickBot="1" x14ac:dyDescent="0.35">
      <c r="A31" s="29"/>
      <c r="B31" s="157" t="s">
        <v>232</v>
      </c>
      <c r="C31" s="157"/>
      <c r="D31" s="224"/>
      <c r="G31" s="202" t="s">
        <v>242</v>
      </c>
      <c r="H31" s="227" t="s">
        <v>239</v>
      </c>
      <c r="I31" s="209" t="s">
        <v>322</v>
      </c>
      <c r="J31" s="205"/>
      <c r="K31" s="205"/>
      <c r="L31" s="205">
        <v>1</v>
      </c>
      <c r="M31" s="205">
        <v>1</v>
      </c>
      <c r="N31" s="206"/>
      <c r="O31" s="207"/>
      <c r="P31" s="207"/>
      <c r="Q31" s="208"/>
      <c r="R31" s="209"/>
      <c r="S31" s="209"/>
      <c r="T31" s="205"/>
      <c r="U31" s="205"/>
      <c r="V31" s="205"/>
      <c r="W31" s="205"/>
      <c r="X31" s="206"/>
      <c r="Y31" s="207"/>
      <c r="Z31" s="207"/>
    </row>
    <row r="32" spans="1:26" ht="15.6" thickTop="1" thickBot="1" x14ac:dyDescent="0.35">
      <c r="A32" s="29"/>
      <c r="B32" s="159"/>
      <c r="C32" s="24" t="s">
        <v>16</v>
      </c>
      <c r="D32" s="25">
        <f>INT(B32/4)</f>
        <v>0</v>
      </c>
      <c r="G32" s="477">
        <f>SUM(H32:H43)</f>
        <v>20</v>
      </c>
      <c r="H32" s="370">
        <f>MAX(K32:N32)+MAX(U32:X32)</f>
        <v>3</v>
      </c>
      <c r="I32" s="370" t="s">
        <v>84</v>
      </c>
      <c r="J32" s="370"/>
      <c r="K32" s="370"/>
      <c r="L32" s="370">
        <v>2</v>
      </c>
      <c r="M32" s="370">
        <v>1</v>
      </c>
      <c r="N32" s="370"/>
      <c r="O32" s="370">
        <f>(J32+K32)*$Y$3</f>
        <v>0</v>
      </c>
      <c r="P32" s="370"/>
      <c r="Q32" s="370"/>
      <c r="R32" s="370" t="s">
        <v>125</v>
      </c>
      <c r="S32" s="370" t="s">
        <v>124</v>
      </c>
      <c r="T32" s="370">
        <v>1</v>
      </c>
      <c r="U32" s="370"/>
      <c r="V32" s="370">
        <v>1</v>
      </c>
      <c r="W32" s="370">
        <v>1</v>
      </c>
      <c r="X32" s="370"/>
      <c r="Y32" s="211">
        <f>(T32+U32)*$Y$3</f>
        <v>0.5</v>
      </c>
      <c r="Z32" s="211"/>
    </row>
    <row r="33" spans="1:26" ht="15.6" thickTop="1" thickBot="1" x14ac:dyDescent="0.35">
      <c r="A33" s="29"/>
      <c r="B33" s="159"/>
      <c r="C33" s="24" t="s">
        <v>17</v>
      </c>
      <c r="D33" s="25">
        <f>INT(B33/3)</f>
        <v>0</v>
      </c>
      <c r="G33" s="370"/>
      <c r="H33" s="370">
        <f t="shared" ref="H33:H43" si="5">MAX(K33:N33)+MAX(U33:X33)</f>
        <v>1</v>
      </c>
      <c r="I33" s="370" t="s">
        <v>115</v>
      </c>
      <c r="J33" s="370"/>
      <c r="K33" s="370">
        <v>1</v>
      </c>
      <c r="L33" s="370">
        <v>1</v>
      </c>
      <c r="M33" s="370">
        <v>1</v>
      </c>
      <c r="N33" s="370"/>
      <c r="O33" s="370">
        <f t="shared" ref="O33:O43" si="6">(J33+K33)*$Y$3</f>
        <v>0.5</v>
      </c>
      <c r="P33" s="370"/>
      <c r="Q33" s="370"/>
      <c r="R33" s="370"/>
      <c r="S33" s="370"/>
      <c r="T33" s="370"/>
      <c r="U33" s="370"/>
      <c r="V33" s="370"/>
      <c r="W33" s="370"/>
      <c r="X33" s="370"/>
      <c r="Y33" s="216">
        <f t="shared" ref="Y33:Y43" si="7">(T33+U33)*$Y$3</f>
        <v>0</v>
      </c>
      <c r="Z33" s="216"/>
    </row>
    <row r="34" spans="1:26" ht="15.6" thickTop="1" thickBot="1" x14ac:dyDescent="0.35">
      <c r="A34" s="29"/>
      <c r="B34" s="159"/>
      <c r="C34" s="24" t="s">
        <v>18</v>
      </c>
      <c r="D34" s="25">
        <f>B34</f>
        <v>0</v>
      </c>
      <c r="G34" s="370"/>
      <c r="H34" s="370">
        <f t="shared" si="5"/>
        <v>2</v>
      </c>
      <c r="I34" s="370"/>
      <c r="J34" s="370"/>
      <c r="K34" s="370"/>
      <c r="L34" s="370"/>
      <c r="M34" s="370"/>
      <c r="N34" s="370"/>
      <c r="O34" s="370">
        <f t="shared" si="6"/>
        <v>0</v>
      </c>
      <c r="P34" s="370"/>
      <c r="Q34" s="370"/>
      <c r="R34" s="525" t="s">
        <v>114</v>
      </c>
      <c r="S34" s="525" t="s">
        <v>482</v>
      </c>
      <c r="T34" s="525">
        <v>1</v>
      </c>
      <c r="U34" s="525">
        <v>2</v>
      </c>
      <c r="V34" s="525"/>
      <c r="W34" s="525"/>
      <c r="X34" s="525"/>
      <c r="Y34" s="216">
        <f t="shared" si="7"/>
        <v>1.5</v>
      </c>
      <c r="Z34" s="216"/>
    </row>
    <row r="35" spans="1:26" ht="15.6" thickTop="1" thickBot="1" x14ac:dyDescent="0.35">
      <c r="A35" s="29"/>
      <c r="C35" t="s">
        <v>12</v>
      </c>
      <c r="D35" s="136">
        <f>INT((D14-10)/5)</f>
        <v>6</v>
      </c>
      <c r="G35" s="370"/>
      <c r="H35" s="370">
        <f t="shared" si="5"/>
        <v>2</v>
      </c>
      <c r="I35" s="370"/>
      <c r="J35" s="370"/>
      <c r="K35" s="370"/>
      <c r="L35" s="370"/>
      <c r="M35" s="370"/>
      <c r="N35" s="370"/>
      <c r="O35" s="370">
        <f t="shared" si="6"/>
        <v>0</v>
      </c>
      <c r="P35" s="370"/>
      <c r="Q35" s="370"/>
      <c r="R35" s="370" t="s">
        <v>59</v>
      </c>
      <c r="S35" s="370" t="s">
        <v>305</v>
      </c>
      <c r="T35" s="370">
        <v>1</v>
      </c>
      <c r="U35" s="370">
        <v>2</v>
      </c>
      <c r="V35" s="370"/>
      <c r="W35" s="370"/>
      <c r="X35" s="370"/>
      <c r="Y35" s="216">
        <f t="shared" si="7"/>
        <v>1.5</v>
      </c>
      <c r="Z35" s="216"/>
    </row>
    <row r="36" spans="1:26" ht="15.6" thickTop="1" thickBot="1" x14ac:dyDescent="0.35">
      <c r="A36" s="29"/>
      <c r="C36" s="7" t="s">
        <v>7</v>
      </c>
      <c r="D36" s="229">
        <f>D27-(D30+D35)</f>
        <v>0</v>
      </c>
      <c r="G36" s="371" t="s">
        <v>326</v>
      </c>
      <c r="H36" s="370">
        <f t="shared" si="5"/>
        <v>3</v>
      </c>
      <c r="I36" s="371" t="s">
        <v>167</v>
      </c>
      <c r="J36" s="370">
        <v>1</v>
      </c>
      <c r="K36" s="370"/>
      <c r="L36" s="370">
        <v>1</v>
      </c>
      <c r="M36" s="370">
        <v>1</v>
      </c>
      <c r="N36" s="370"/>
      <c r="O36" s="370">
        <f t="shared" si="6"/>
        <v>0.5</v>
      </c>
      <c r="P36" s="370"/>
      <c r="Q36" s="370"/>
      <c r="R36" s="370" t="s">
        <v>116</v>
      </c>
      <c r="S36" s="370" t="s">
        <v>169</v>
      </c>
      <c r="T36" s="370">
        <v>1</v>
      </c>
      <c r="U36" s="370">
        <v>2</v>
      </c>
      <c r="V36" s="370"/>
      <c r="W36" s="370"/>
      <c r="X36" s="370"/>
      <c r="Y36" s="216">
        <f t="shared" si="7"/>
        <v>1.5</v>
      </c>
      <c r="Z36" s="216"/>
    </row>
    <row r="37" spans="1:26" ht="15.6" thickTop="1" thickBot="1" x14ac:dyDescent="0.35">
      <c r="A37" s="30"/>
      <c r="B37" s="88"/>
      <c r="C37" s="88" t="s">
        <v>34</v>
      </c>
      <c r="D37" s="16">
        <f>IF(D36&lt;=0,0,D35)</f>
        <v>0</v>
      </c>
      <c r="G37" s="371" t="s">
        <v>326</v>
      </c>
      <c r="H37" s="370">
        <f t="shared" si="5"/>
        <v>2</v>
      </c>
      <c r="I37" s="370"/>
      <c r="J37" s="370"/>
      <c r="K37" s="370"/>
      <c r="L37" s="370"/>
      <c r="M37" s="370"/>
      <c r="N37" s="370"/>
      <c r="O37" s="370">
        <f t="shared" si="6"/>
        <v>0</v>
      </c>
      <c r="P37" s="370"/>
      <c r="Q37" s="370"/>
      <c r="R37" s="370" t="s">
        <v>170</v>
      </c>
      <c r="S37" s="370" t="s">
        <v>337</v>
      </c>
      <c r="T37" s="370"/>
      <c r="U37" s="370">
        <v>2</v>
      </c>
      <c r="V37" s="370"/>
      <c r="W37" s="370"/>
      <c r="X37" s="370"/>
      <c r="Y37" s="216">
        <f t="shared" si="7"/>
        <v>1</v>
      </c>
      <c r="Z37" s="216"/>
    </row>
    <row r="38" spans="1:26" ht="15.6" thickTop="1" thickBot="1" x14ac:dyDescent="0.35">
      <c r="G38" s="371" t="s">
        <v>326</v>
      </c>
      <c r="H38" s="370">
        <f t="shared" si="5"/>
        <v>2</v>
      </c>
      <c r="I38" s="370"/>
      <c r="J38" s="370"/>
      <c r="K38" s="370"/>
      <c r="L38" s="370"/>
      <c r="M38" s="370"/>
      <c r="N38" s="370"/>
      <c r="O38" s="370">
        <f t="shared" si="6"/>
        <v>0</v>
      </c>
      <c r="P38" s="370"/>
      <c r="Q38" s="370"/>
      <c r="R38" s="370" t="s">
        <v>171</v>
      </c>
      <c r="S38" s="370" t="s">
        <v>338</v>
      </c>
      <c r="T38" s="370"/>
      <c r="U38" s="370">
        <v>2</v>
      </c>
      <c r="V38" s="370"/>
      <c r="W38" s="370"/>
      <c r="X38" s="370"/>
      <c r="Y38" s="216">
        <f t="shared" si="7"/>
        <v>1</v>
      </c>
      <c r="Z38" s="216"/>
    </row>
    <row r="39" spans="1:26" ht="15.6" thickTop="1" thickBot="1" x14ac:dyDescent="0.35">
      <c r="G39" s="371" t="s">
        <v>326</v>
      </c>
      <c r="H39" s="370">
        <f t="shared" si="5"/>
        <v>0</v>
      </c>
      <c r="I39" s="370"/>
      <c r="J39" s="370"/>
      <c r="K39" s="370"/>
      <c r="L39" s="370"/>
      <c r="M39" s="370"/>
      <c r="N39" s="370"/>
      <c r="O39" s="370">
        <f t="shared" si="6"/>
        <v>0</v>
      </c>
      <c r="P39" s="370"/>
      <c r="Q39" s="370"/>
      <c r="R39" s="370"/>
      <c r="S39" s="370"/>
      <c r="T39" s="370"/>
      <c r="U39" s="370"/>
      <c r="V39" s="370"/>
      <c r="W39" s="370"/>
      <c r="X39" s="370"/>
      <c r="Y39" s="216">
        <f t="shared" si="7"/>
        <v>0</v>
      </c>
      <c r="Z39" s="216"/>
    </row>
    <row r="40" spans="1:26" ht="15.6" thickTop="1" thickBot="1" x14ac:dyDescent="0.35">
      <c r="C40" s="9" t="s">
        <v>27</v>
      </c>
      <c r="D40" s="9">
        <f>D19-D37</f>
        <v>22.4</v>
      </c>
      <c r="G40" s="371" t="s">
        <v>326</v>
      </c>
      <c r="H40" s="370">
        <f t="shared" si="5"/>
        <v>3</v>
      </c>
      <c r="I40" s="370" t="s">
        <v>320</v>
      </c>
      <c r="J40" s="370"/>
      <c r="K40" s="370"/>
      <c r="L40" s="370">
        <v>2</v>
      </c>
      <c r="M40" s="370">
        <v>2</v>
      </c>
      <c r="N40" s="370"/>
      <c r="O40" s="370">
        <f t="shared" si="6"/>
        <v>0</v>
      </c>
      <c r="P40" s="370"/>
      <c r="Q40" s="370"/>
      <c r="R40" s="525" t="s">
        <v>191</v>
      </c>
      <c r="S40" s="525" t="s">
        <v>529</v>
      </c>
      <c r="T40" s="525">
        <v>1</v>
      </c>
      <c r="U40" s="525"/>
      <c r="V40" s="525">
        <v>1</v>
      </c>
      <c r="W40" s="525">
        <v>1</v>
      </c>
      <c r="X40" s="370"/>
      <c r="Y40" s="216">
        <f t="shared" si="7"/>
        <v>0.5</v>
      </c>
      <c r="Z40" s="216"/>
    </row>
    <row r="41" spans="1:26" ht="15.6" thickTop="1" thickBot="1" x14ac:dyDescent="0.35">
      <c r="G41" s="371" t="s">
        <v>326</v>
      </c>
      <c r="H41" s="370">
        <f t="shared" si="5"/>
        <v>1</v>
      </c>
      <c r="I41" s="370" t="s">
        <v>231</v>
      </c>
      <c r="J41" s="370"/>
      <c r="K41" s="370">
        <v>1</v>
      </c>
      <c r="L41" s="370">
        <v>1</v>
      </c>
      <c r="M41" s="370">
        <v>1</v>
      </c>
      <c r="N41" s="370"/>
      <c r="O41" s="370">
        <f t="shared" si="6"/>
        <v>0.5</v>
      </c>
      <c r="P41" s="370"/>
      <c r="Q41" s="370"/>
      <c r="R41" s="370"/>
      <c r="S41" s="370"/>
      <c r="T41" s="370"/>
      <c r="U41" s="370"/>
      <c r="V41" s="370"/>
      <c r="W41" s="370"/>
      <c r="X41" s="370"/>
      <c r="Y41" s="216">
        <f t="shared" si="7"/>
        <v>0</v>
      </c>
      <c r="Z41" s="216"/>
    </row>
    <row r="42" spans="1:26" ht="15.6" thickTop="1" thickBot="1" x14ac:dyDescent="0.35">
      <c r="G42" s="370"/>
      <c r="H42" s="370">
        <f t="shared" si="5"/>
        <v>1</v>
      </c>
      <c r="I42" s="370"/>
      <c r="J42" s="370"/>
      <c r="K42" s="370"/>
      <c r="L42" s="370"/>
      <c r="M42" s="370"/>
      <c r="N42" s="370"/>
      <c r="O42" s="370">
        <f t="shared" si="6"/>
        <v>0</v>
      </c>
      <c r="P42" s="370"/>
      <c r="Q42" s="370"/>
      <c r="R42" s="370" t="s">
        <v>324</v>
      </c>
      <c r="S42" s="370" t="s">
        <v>325</v>
      </c>
      <c r="T42" s="370"/>
      <c r="U42" s="370"/>
      <c r="V42" s="370">
        <v>1</v>
      </c>
      <c r="W42" s="370">
        <v>1</v>
      </c>
      <c r="X42" s="370"/>
      <c r="Y42" s="216">
        <f t="shared" si="7"/>
        <v>0</v>
      </c>
      <c r="Z42" s="216"/>
    </row>
    <row r="43" spans="1:26" ht="15.6" thickTop="1" thickBot="1" x14ac:dyDescent="0.35">
      <c r="G43" s="370"/>
      <c r="H43" s="370">
        <f t="shared" si="5"/>
        <v>0</v>
      </c>
      <c r="I43" s="370"/>
      <c r="J43" s="370"/>
      <c r="K43" s="370"/>
      <c r="L43" s="370"/>
      <c r="M43" s="370"/>
      <c r="N43" s="370"/>
      <c r="O43" s="370">
        <f t="shared" si="6"/>
        <v>0</v>
      </c>
      <c r="P43" s="370"/>
      <c r="Q43" s="370"/>
      <c r="R43" s="370"/>
      <c r="S43" s="370"/>
      <c r="T43" s="370"/>
      <c r="U43" s="370"/>
      <c r="V43" s="370"/>
      <c r="W43" s="370"/>
      <c r="X43" s="370"/>
      <c r="Y43" s="216">
        <f t="shared" si="7"/>
        <v>0</v>
      </c>
      <c r="Z43" s="216"/>
    </row>
    <row r="44" spans="1:26" ht="15.6" thickTop="1" thickBot="1" x14ac:dyDescent="0.35">
      <c r="G44" s="183" t="s">
        <v>450</v>
      </c>
      <c r="H44" s="184" t="s">
        <v>69</v>
      </c>
      <c r="I44" s="185" t="s">
        <v>237</v>
      </c>
      <c r="J44" s="154" t="s">
        <v>228</v>
      </c>
      <c r="K44" s="187" t="s">
        <v>204</v>
      </c>
      <c r="L44" s="187" t="s">
        <v>100</v>
      </c>
      <c r="M44" s="187" t="s">
        <v>205</v>
      </c>
      <c r="N44" s="187" t="s">
        <v>206</v>
      </c>
      <c r="O44" s="188" t="s">
        <v>27</v>
      </c>
      <c r="P44" s="188" t="s">
        <v>236</v>
      </c>
      <c r="Q44" s="189"/>
      <c r="R44" s="185"/>
      <c r="S44" s="185" t="s">
        <v>237</v>
      </c>
      <c r="T44" s="154" t="s">
        <v>228</v>
      </c>
      <c r="U44" s="187" t="s">
        <v>204</v>
      </c>
      <c r="V44" s="187" t="s">
        <v>100</v>
      </c>
      <c r="W44" s="187" t="s">
        <v>205</v>
      </c>
      <c r="X44" s="187" t="s">
        <v>206</v>
      </c>
      <c r="Y44" s="188" t="s">
        <v>27</v>
      </c>
      <c r="Z44" s="188" t="s">
        <v>236</v>
      </c>
    </row>
    <row r="45" spans="1:26" ht="15" thickBot="1" x14ac:dyDescent="0.35">
      <c r="G45" s="75" t="s">
        <v>161</v>
      </c>
      <c r="H45" s="118" t="s">
        <v>239</v>
      </c>
      <c r="I45" s="201" t="s">
        <v>343</v>
      </c>
      <c r="J45" s="137"/>
      <c r="K45" s="137"/>
      <c r="L45" s="137">
        <v>2</v>
      </c>
      <c r="M45" s="137">
        <v>2</v>
      </c>
      <c r="N45" s="153"/>
      <c r="O45" s="156"/>
      <c r="P45" s="156"/>
      <c r="Q45" s="200"/>
      <c r="R45" s="156"/>
      <c r="S45" s="155"/>
      <c r="T45" s="137"/>
      <c r="U45" s="137"/>
      <c r="V45" s="137"/>
      <c r="W45" s="137"/>
      <c r="X45" s="153"/>
      <c r="Y45" s="156"/>
      <c r="Z45" s="156"/>
    </row>
    <row r="46" spans="1:26" x14ac:dyDescent="0.3">
      <c r="G46" s="202" t="s">
        <v>242</v>
      </c>
      <c r="H46" s="239" t="s">
        <v>239</v>
      </c>
      <c r="I46" s="209" t="s">
        <v>322</v>
      </c>
      <c r="J46" s="205"/>
      <c r="K46" s="205"/>
      <c r="L46" s="205">
        <v>1</v>
      </c>
      <c r="M46" s="205">
        <v>1</v>
      </c>
      <c r="N46" s="206"/>
      <c r="O46" s="207"/>
      <c r="P46" s="207"/>
      <c r="Q46" s="208"/>
      <c r="R46" s="207"/>
      <c r="S46" s="204"/>
      <c r="T46" s="205"/>
      <c r="U46" s="205"/>
      <c r="V46" s="205"/>
      <c r="W46" s="205"/>
      <c r="X46" s="206"/>
      <c r="Y46" s="207"/>
      <c r="Z46" s="207"/>
    </row>
    <row r="47" spans="1:26" x14ac:dyDescent="0.3">
      <c r="G47" s="202">
        <f>SUM(H47:H62)</f>
        <v>19</v>
      </c>
      <c r="H47" s="210">
        <f t="shared" ref="H47:H72" si="8">MAX(K47:N47)+MAX(U47:X47)</f>
        <v>4</v>
      </c>
      <c r="I47" s="266" t="s">
        <v>54</v>
      </c>
      <c r="J47" s="266"/>
      <c r="K47" s="266"/>
      <c r="L47" s="266">
        <v>2</v>
      </c>
      <c r="M47" s="266">
        <v>1</v>
      </c>
      <c r="O47" s="211">
        <f>(J47+K47)*$Y$3</f>
        <v>0</v>
      </c>
      <c r="P47" s="211"/>
      <c r="Q47" s="195"/>
      <c r="R47" s="334" t="s">
        <v>116</v>
      </c>
      <c r="S47" s="561" t="s">
        <v>471</v>
      </c>
      <c r="T47" s="213">
        <v>1</v>
      </c>
      <c r="U47" s="213">
        <v>2</v>
      </c>
      <c r="V47" s="213"/>
      <c r="W47" s="213"/>
      <c r="X47" s="214"/>
      <c r="Y47" s="211">
        <f t="shared" ref="Y47:Y62" si="9">(T47+U47)*$Y$3</f>
        <v>1.5</v>
      </c>
      <c r="Z47" s="211"/>
    </row>
    <row r="48" spans="1:26" x14ac:dyDescent="0.3">
      <c r="G48" s="76"/>
      <c r="H48" s="210">
        <f t="shared" si="8"/>
        <v>3</v>
      </c>
      <c r="I48" s="266" t="s">
        <v>72</v>
      </c>
      <c r="J48" s="266"/>
      <c r="K48" s="266"/>
      <c r="L48" s="266">
        <v>1</v>
      </c>
      <c r="M48" s="266">
        <v>2</v>
      </c>
      <c r="N48" s="56"/>
      <c r="O48" s="216">
        <f t="shared" ref="O48:O62" si="10">(J48+K48)*$Y$3</f>
        <v>0</v>
      </c>
      <c r="P48" s="216"/>
      <c r="Q48" s="195"/>
      <c r="R48" s="265" t="s">
        <v>246</v>
      </c>
      <c r="S48" s="259" t="s">
        <v>247</v>
      </c>
      <c r="T48" s="56"/>
      <c r="U48" s="56">
        <v>1</v>
      </c>
      <c r="V48" s="56">
        <v>1</v>
      </c>
      <c r="W48" s="56">
        <v>1</v>
      </c>
      <c r="Y48" s="216">
        <f t="shared" si="9"/>
        <v>0.5</v>
      </c>
      <c r="Z48" s="216"/>
    </row>
    <row r="49" spans="7:26" x14ac:dyDescent="0.3">
      <c r="G49" s="76"/>
      <c r="H49" s="210">
        <f t="shared" si="8"/>
        <v>1</v>
      </c>
      <c r="I49" s="259" t="s">
        <v>52</v>
      </c>
      <c r="J49" s="56"/>
      <c r="K49" s="56"/>
      <c r="L49" s="56">
        <v>1</v>
      </c>
      <c r="M49" s="56"/>
      <c r="N49" s="56"/>
      <c r="O49" s="216">
        <f t="shared" si="10"/>
        <v>0</v>
      </c>
      <c r="P49" s="216"/>
      <c r="Q49" s="195"/>
      <c r="R49" s="265"/>
      <c r="S49" s="259"/>
      <c r="T49" s="56"/>
      <c r="U49" s="56"/>
      <c r="V49" s="56"/>
      <c r="W49" s="56"/>
      <c r="Y49" s="216">
        <f t="shared" si="9"/>
        <v>0</v>
      </c>
      <c r="Z49" s="216"/>
    </row>
    <row r="50" spans="7:26" x14ac:dyDescent="0.3">
      <c r="G50" s="76"/>
      <c r="H50" s="210">
        <f t="shared" si="8"/>
        <v>4</v>
      </c>
      <c r="I50" s="416" t="s">
        <v>145</v>
      </c>
      <c r="J50" s="256"/>
      <c r="K50" s="256"/>
      <c r="L50" s="256"/>
      <c r="M50" s="256"/>
      <c r="N50" s="256">
        <v>2</v>
      </c>
      <c r="O50" s="216">
        <f t="shared" si="10"/>
        <v>0</v>
      </c>
      <c r="P50" s="216"/>
      <c r="Q50" s="195"/>
      <c r="R50" s="265" t="s">
        <v>62</v>
      </c>
      <c r="S50" s="259" t="s">
        <v>306</v>
      </c>
      <c r="T50" s="56">
        <v>1</v>
      </c>
      <c r="U50" s="56">
        <v>1</v>
      </c>
      <c r="V50" s="56">
        <v>2</v>
      </c>
      <c r="W50" s="56">
        <v>2</v>
      </c>
      <c r="Y50" s="216">
        <f t="shared" si="9"/>
        <v>1</v>
      </c>
      <c r="Z50" s="216"/>
    </row>
    <row r="51" spans="7:26" x14ac:dyDescent="0.3">
      <c r="G51" s="76"/>
      <c r="H51" s="210">
        <f t="shared" si="8"/>
        <v>4</v>
      </c>
      <c r="I51" s="416" t="s">
        <v>473</v>
      </c>
      <c r="J51" s="256"/>
      <c r="K51" s="256"/>
      <c r="L51" s="256">
        <v>2</v>
      </c>
      <c r="M51" s="256"/>
      <c r="N51" s="256"/>
      <c r="O51" s="216">
        <f t="shared" si="10"/>
        <v>0</v>
      </c>
      <c r="P51" s="216"/>
      <c r="Q51" s="195"/>
      <c r="R51" s="265" t="s">
        <v>62</v>
      </c>
      <c r="S51" s="259" t="s">
        <v>472</v>
      </c>
      <c r="T51" s="56"/>
      <c r="U51" s="56">
        <v>2</v>
      </c>
      <c r="V51" s="56"/>
      <c r="W51" s="56"/>
      <c r="Y51" s="216">
        <f t="shared" si="9"/>
        <v>1</v>
      </c>
      <c r="Z51" s="216"/>
    </row>
    <row r="52" spans="7:26" x14ac:dyDescent="0.3">
      <c r="G52" s="76"/>
      <c r="H52" s="210">
        <f t="shared" si="8"/>
        <v>1</v>
      </c>
      <c r="I52" s="253"/>
      <c r="J52" s="56"/>
      <c r="K52" s="56"/>
      <c r="L52" s="56"/>
      <c r="M52" s="56"/>
      <c r="N52" s="56"/>
      <c r="O52" s="216">
        <f t="shared" si="10"/>
        <v>0</v>
      </c>
      <c r="P52" s="216"/>
      <c r="Q52" s="195"/>
      <c r="R52" s="265" t="s">
        <v>62</v>
      </c>
      <c r="S52" s="259" t="s">
        <v>407</v>
      </c>
      <c r="T52" s="56">
        <v>1</v>
      </c>
      <c r="U52" s="56"/>
      <c r="V52" s="56">
        <v>1</v>
      </c>
      <c r="W52" s="56">
        <v>1</v>
      </c>
      <c r="Y52" s="216">
        <f t="shared" si="9"/>
        <v>0.5</v>
      </c>
      <c r="Z52" s="216"/>
    </row>
    <row r="53" spans="7:26" x14ac:dyDescent="0.3">
      <c r="G53" s="76"/>
      <c r="H53" s="210">
        <f t="shared" si="8"/>
        <v>0</v>
      </c>
      <c r="I53" s="259"/>
      <c r="J53" s="56"/>
      <c r="K53" s="56"/>
      <c r="L53" s="56"/>
      <c r="M53" s="56"/>
      <c r="N53" s="56"/>
      <c r="O53" s="216">
        <f t="shared" si="10"/>
        <v>0</v>
      </c>
      <c r="P53" s="216"/>
      <c r="Q53" s="195"/>
      <c r="R53" s="237"/>
      <c r="S53" s="240"/>
      <c r="T53" s="223"/>
      <c r="U53" s="223"/>
      <c r="V53" s="223"/>
      <c r="W53" s="223"/>
      <c r="Y53" s="216">
        <f t="shared" si="9"/>
        <v>0</v>
      </c>
      <c r="Z53" s="216"/>
    </row>
    <row r="54" spans="7:26" x14ac:dyDescent="0.3">
      <c r="G54" s="76"/>
      <c r="H54" s="210">
        <f t="shared" si="8"/>
        <v>0</v>
      </c>
      <c r="I54" s="259"/>
      <c r="J54" s="56"/>
      <c r="K54" s="56"/>
      <c r="L54" s="56"/>
      <c r="M54" s="56"/>
      <c r="N54" s="56"/>
      <c r="O54" s="216">
        <f t="shared" si="10"/>
        <v>0</v>
      </c>
      <c r="P54" s="216"/>
      <c r="Q54" s="195"/>
      <c r="R54" s="265"/>
      <c r="S54" s="259"/>
      <c r="T54" s="56"/>
      <c r="U54" s="56"/>
      <c r="V54" s="56"/>
      <c r="W54" s="56"/>
      <c r="Y54" s="216">
        <f t="shared" si="9"/>
        <v>0</v>
      </c>
      <c r="Z54" s="216"/>
    </row>
    <row r="55" spans="7:26" x14ac:dyDescent="0.3">
      <c r="G55" s="76"/>
      <c r="H55" s="210">
        <f t="shared" si="8"/>
        <v>2</v>
      </c>
      <c r="I55" s="259"/>
      <c r="J55" s="56"/>
      <c r="K55" s="56"/>
      <c r="L55" s="56"/>
      <c r="M55" s="56"/>
      <c r="N55" s="56"/>
      <c r="O55" s="216">
        <f t="shared" si="10"/>
        <v>0</v>
      </c>
      <c r="P55" s="216"/>
      <c r="Q55" s="195"/>
      <c r="R55" s="562" t="s">
        <v>528</v>
      </c>
      <c r="S55" s="559" t="s">
        <v>527</v>
      </c>
      <c r="T55" s="560"/>
      <c r="U55" s="560">
        <v>2</v>
      </c>
      <c r="V55" s="560">
        <v>1</v>
      </c>
      <c r="W55" s="560">
        <v>1</v>
      </c>
      <c r="X55" s="243"/>
      <c r="Y55" s="216">
        <f t="shared" si="9"/>
        <v>1</v>
      </c>
      <c r="Z55" s="216"/>
    </row>
    <row r="56" spans="7:26" x14ac:dyDescent="0.3">
      <c r="G56" s="76"/>
      <c r="H56" s="210">
        <f t="shared" si="8"/>
        <v>0</v>
      </c>
      <c r="I56" s="259"/>
      <c r="J56" s="56"/>
      <c r="K56" s="56"/>
      <c r="L56" s="56"/>
      <c r="M56" s="56"/>
      <c r="N56" s="56"/>
      <c r="O56" s="216">
        <f t="shared" si="10"/>
        <v>0</v>
      </c>
      <c r="P56" s="216"/>
      <c r="Q56" s="195"/>
      <c r="R56" s="265"/>
      <c r="S56" s="259"/>
      <c r="T56" s="56"/>
      <c r="U56" s="56"/>
      <c r="V56" s="56"/>
      <c r="W56" s="56"/>
      <c r="Y56" s="216">
        <f t="shared" si="9"/>
        <v>0</v>
      </c>
      <c r="Z56" s="216"/>
    </row>
    <row r="57" spans="7:26" x14ac:dyDescent="0.3">
      <c r="G57" s="76"/>
      <c r="H57" s="210">
        <f t="shared" si="8"/>
        <v>0</v>
      </c>
      <c r="I57" s="259"/>
      <c r="J57" s="56"/>
      <c r="K57" s="56"/>
      <c r="L57" s="56"/>
      <c r="M57" s="56"/>
      <c r="N57" s="56"/>
      <c r="O57" s="216">
        <f t="shared" si="10"/>
        <v>0</v>
      </c>
      <c r="P57" s="216"/>
      <c r="Q57" s="195"/>
      <c r="R57" s="265"/>
      <c r="S57" s="259"/>
      <c r="T57" s="56"/>
      <c r="U57" s="56"/>
      <c r="V57" s="56"/>
      <c r="W57" s="56"/>
      <c r="Y57" s="216">
        <f t="shared" si="9"/>
        <v>0</v>
      </c>
      <c r="Z57" s="216"/>
    </row>
    <row r="58" spans="7:26" x14ac:dyDescent="0.3">
      <c r="G58" s="76"/>
      <c r="H58" s="210">
        <f t="shared" si="8"/>
        <v>0</v>
      </c>
      <c r="I58" s="259"/>
      <c r="J58" s="56"/>
      <c r="K58" s="56"/>
      <c r="L58" s="56"/>
      <c r="M58" s="56"/>
      <c r="N58" s="56"/>
      <c r="O58" s="216">
        <f t="shared" si="10"/>
        <v>0</v>
      </c>
      <c r="P58" s="216"/>
      <c r="Q58" s="195"/>
      <c r="R58" s="265"/>
      <c r="S58" s="259"/>
      <c r="T58" s="56"/>
      <c r="U58" s="56"/>
      <c r="V58" s="56"/>
      <c r="W58" s="56"/>
      <c r="Y58" s="216">
        <f t="shared" si="9"/>
        <v>0</v>
      </c>
      <c r="Z58" s="216"/>
    </row>
    <row r="59" spans="7:26" x14ac:dyDescent="0.3">
      <c r="G59" s="76"/>
      <c r="H59" s="210">
        <f t="shared" si="8"/>
        <v>0</v>
      </c>
      <c r="I59" s="259"/>
      <c r="J59" s="56"/>
      <c r="K59" s="56"/>
      <c r="L59" s="56"/>
      <c r="M59" s="56"/>
      <c r="N59" s="56"/>
      <c r="O59" s="216">
        <f t="shared" si="10"/>
        <v>0</v>
      </c>
      <c r="P59" s="216"/>
      <c r="Q59" s="195"/>
      <c r="R59" s="265"/>
      <c r="S59" s="259"/>
      <c r="T59" s="56"/>
      <c r="U59" s="56"/>
      <c r="V59" s="56"/>
      <c r="W59" s="56"/>
      <c r="Y59" s="216">
        <f t="shared" si="9"/>
        <v>0</v>
      </c>
      <c r="Z59" s="216"/>
    </row>
    <row r="60" spans="7:26" x14ac:dyDescent="0.3">
      <c r="G60" s="76"/>
      <c r="H60" s="210">
        <f t="shared" si="8"/>
        <v>0</v>
      </c>
      <c r="I60" s="259"/>
      <c r="J60" s="56"/>
      <c r="K60" s="56"/>
      <c r="L60" s="56"/>
      <c r="M60" s="56"/>
      <c r="N60" s="56"/>
      <c r="O60" s="216">
        <f t="shared" si="10"/>
        <v>0</v>
      </c>
      <c r="P60" s="216"/>
      <c r="Q60" s="195"/>
      <c r="R60" s="265"/>
      <c r="S60" s="259"/>
      <c r="T60" s="56"/>
      <c r="U60" s="56"/>
      <c r="V60" s="56"/>
      <c r="W60" s="56"/>
      <c r="Y60" s="216">
        <f t="shared" si="9"/>
        <v>0</v>
      </c>
      <c r="Z60" s="216"/>
    </row>
    <row r="61" spans="7:26" x14ac:dyDescent="0.3">
      <c r="G61" s="76"/>
      <c r="H61" s="210">
        <f t="shared" si="8"/>
        <v>0</v>
      </c>
      <c r="I61" s="259"/>
      <c r="J61" s="56"/>
      <c r="K61" s="56"/>
      <c r="L61" s="56"/>
      <c r="M61" s="56"/>
      <c r="N61" s="56"/>
      <c r="O61" s="216">
        <f t="shared" si="10"/>
        <v>0</v>
      </c>
      <c r="P61" s="216"/>
      <c r="Q61" s="195"/>
      <c r="R61" s="265"/>
      <c r="S61" s="259"/>
      <c r="T61" s="56"/>
      <c r="U61" s="56"/>
      <c r="V61" s="56"/>
      <c r="W61" s="56"/>
      <c r="Y61" s="216">
        <f t="shared" si="9"/>
        <v>0</v>
      </c>
      <c r="Z61" s="216"/>
    </row>
    <row r="62" spans="7:26" ht="15" thickBot="1" x14ac:dyDescent="0.35">
      <c r="G62" s="76"/>
      <c r="H62" s="225">
        <f t="shared" si="8"/>
        <v>0</v>
      </c>
      <c r="I62" s="269"/>
      <c r="J62" s="59"/>
      <c r="K62" s="59"/>
      <c r="L62" s="59"/>
      <c r="M62" s="59"/>
      <c r="N62" s="59"/>
      <c r="O62" s="216">
        <f t="shared" si="10"/>
        <v>0</v>
      </c>
      <c r="P62" s="216"/>
      <c r="Q62" s="226"/>
      <c r="R62" s="268"/>
      <c r="S62" s="269"/>
      <c r="T62" s="59"/>
      <c r="U62" s="59"/>
      <c r="V62" s="59"/>
      <c r="W62" s="59"/>
      <c r="X62" s="88"/>
      <c r="Y62" s="216">
        <f t="shared" si="9"/>
        <v>0</v>
      </c>
      <c r="Z62" s="216"/>
    </row>
    <row r="63" spans="7:26" ht="15" thickBot="1" x14ac:dyDescent="0.35">
      <c r="G63" s="72" t="s">
        <v>248</v>
      </c>
      <c r="H63" s="184" t="s">
        <v>69</v>
      </c>
      <c r="I63" s="185" t="s">
        <v>237</v>
      </c>
      <c r="J63" s="186" t="s">
        <v>228</v>
      </c>
      <c r="K63" s="187" t="s">
        <v>204</v>
      </c>
      <c r="L63" s="187" t="s">
        <v>100</v>
      </c>
      <c r="M63" s="187" t="s">
        <v>205</v>
      </c>
      <c r="N63" s="187" t="s">
        <v>206</v>
      </c>
      <c r="O63" s="188" t="s">
        <v>27</v>
      </c>
      <c r="P63" s="188" t="s">
        <v>236</v>
      </c>
      <c r="Q63" s="189"/>
      <c r="R63" s="230"/>
      <c r="S63" s="230" t="s">
        <v>237</v>
      </c>
      <c r="T63" s="186" t="s">
        <v>228</v>
      </c>
      <c r="U63" s="187" t="s">
        <v>204</v>
      </c>
      <c r="V63" s="187" t="s">
        <v>100</v>
      </c>
      <c r="W63" s="187" t="s">
        <v>205</v>
      </c>
      <c r="X63" s="187" t="s">
        <v>206</v>
      </c>
      <c r="Y63" s="188" t="s">
        <v>27</v>
      </c>
      <c r="Z63" s="188" t="s">
        <v>236</v>
      </c>
    </row>
    <row r="64" spans="7:26" x14ac:dyDescent="0.3">
      <c r="G64" s="77" t="s">
        <v>249</v>
      </c>
      <c r="H64" s="231">
        <f t="shared" si="8"/>
        <v>2</v>
      </c>
      <c r="I64" s="29" t="s">
        <v>172</v>
      </c>
      <c r="N64">
        <v>1</v>
      </c>
      <c r="O64" s="211">
        <f t="shared" ref="O64:O72" si="11">(J64+K64)*$Y$3</f>
        <v>0</v>
      </c>
      <c r="P64" s="211"/>
      <c r="Q64" s="195"/>
      <c r="R64" s="70" t="s">
        <v>484</v>
      </c>
      <c r="S64" s="259" t="s">
        <v>378</v>
      </c>
      <c r="U64">
        <v>1</v>
      </c>
      <c r="X64">
        <v>1</v>
      </c>
      <c r="Y64" s="211">
        <v>1</v>
      </c>
      <c r="Z64" s="211"/>
    </row>
    <row r="65" spans="7:26" ht="15" thickBot="1" x14ac:dyDescent="0.35">
      <c r="G65" s="78" t="s">
        <v>173</v>
      </c>
      <c r="H65" s="225">
        <f t="shared" si="8"/>
        <v>2</v>
      </c>
      <c r="I65" s="81" t="s">
        <v>145</v>
      </c>
      <c r="J65" s="38"/>
      <c r="K65" s="38"/>
      <c r="L65" s="38"/>
      <c r="M65" s="38"/>
      <c r="N65" s="38">
        <v>2</v>
      </c>
      <c r="O65" s="548">
        <f t="shared" si="11"/>
        <v>0</v>
      </c>
      <c r="P65" s="548"/>
      <c r="Q65" s="549"/>
      <c r="R65" s="549" t="s">
        <v>505</v>
      </c>
      <c r="S65" s="38"/>
      <c r="T65" s="38"/>
      <c r="U65" s="38"/>
      <c r="V65" s="38"/>
      <c r="W65" s="38"/>
      <c r="X65" s="38"/>
      <c r="Y65" s="232">
        <f>(T65+U65)*$Y$3</f>
        <v>0</v>
      </c>
      <c r="Z65" s="232"/>
    </row>
    <row r="66" spans="7:26" s="241" customFormat="1" x14ac:dyDescent="0.3">
      <c r="G66" s="270" t="s">
        <v>477</v>
      </c>
      <c r="H66" s="241">
        <f t="shared" si="8"/>
        <v>2</v>
      </c>
      <c r="I66" s="28" t="s">
        <v>145</v>
      </c>
      <c r="J66" s="274"/>
      <c r="K66" s="274"/>
      <c r="L66" s="274"/>
      <c r="M66" s="274"/>
      <c r="N66" s="272">
        <v>2</v>
      </c>
      <c r="O66" s="241">
        <f t="shared" si="11"/>
        <v>0</v>
      </c>
      <c r="P66" s="438"/>
      <c r="Q66" s="195"/>
      <c r="R66" s="70"/>
      <c r="S66" s="253"/>
      <c r="T66" s="253"/>
      <c r="U66" s="253"/>
      <c r="V66" s="253"/>
      <c r="W66" s="253"/>
      <c r="X66" s="253"/>
      <c r="Y66" s="438"/>
      <c r="Z66" s="438"/>
    </row>
    <row r="67" spans="7:26" s="241" customFormat="1" ht="15" thickBot="1" x14ac:dyDescent="0.35">
      <c r="G67" s="273" t="s">
        <v>173</v>
      </c>
      <c r="H67" s="241">
        <f t="shared" si="8"/>
        <v>1</v>
      </c>
      <c r="I67" s="30" t="s">
        <v>559</v>
      </c>
      <c r="J67" s="261"/>
      <c r="K67" s="261">
        <v>1</v>
      </c>
      <c r="L67" s="261">
        <v>1</v>
      </c>
      <c r="M67" s="261">
        <v>1</v>
      </c>
      <c r="N67" s="262"/>
      <c r="O67" s="241">
        <f t="shared" si="11"/>
        <v>0.5</v>
      </c>
      <c r="P67" s="438"/>
      <c r="Q67" s="195"/>
      <c r="R67" s="260"/>
      <c r="S67" s="253"/>
      <c r="T67" s="253"/>
      <c r="U67" s="253"/>
      <c r="V67" s="253"/>
      <c r="W67" s="253"/>
      <c r="X67" s="253"/>
      <c r="Y67" s="438"/>
      <c r="Z67" s="438"/>
    </row>
    <row r="68" spans="7:26" x14ac:dyDescent="0.3">
      <c r="G68" s="270" t="s">
        <v>307</v>
      </c>
      <c r="H68" s="231">
        <f>MAX(K68:N68)+MAX(U68:X68)</f>
        <v>2</v>
      </c>
      <c r="I68" s="93" t="s">
        <v>216</v>
      </c>
      <c r="J68" s="271"/>
      <c r="K68" s="271">
        <v>2</v>
      </c>
      <c r="L68" s="271">
        <v>1</v>
      </c>
      <c r="M68" s="271">
        <v>1</v>
      </c>
      <c r="N68" s="271"/>
      <c r="O68" s="233">
        <f>(J68+K68)*$Y$3</f>
        <v>1</v>
      </c>
      <c r="P68" s="233"/>
      <c r="Q68" s="200"/>
      <c r="R68" s="28"/>
      <c r="S68" s="28"/>
      <c r="T68" s="274"/>
      <c r="U68" s="274"/>
      <c r="V68" s="274"/>
      <c r="W68" s="274"/>
      <c r="X68" s="274"/>
      <c r="Y68" s="233">
        <f>(T68+U68)*$Y$3</f>
        <v>0</v>
      </c>
      <c r="Z68" s="233"/>
    </row>
    <row r="69" spans="7:26" ht="15" thickBot="1" x14ac:dyDescent="0.35">
      <c r="G69" s="275" t="s">
        <v>173</v>
      </c>
      <c r="H69" s="225">
        <f>MAX(K69:N69)+MAX(U69:X69)</f>
        <v>1</v>
      </c>
      <c r="I69" s="29" t="s">
        <v>207</v>
      </c>
      <c r="J69" s="253"/>
      <c r="K69" s="253">
        <v>1</v>
      </c>
      <c r="L69" s="253"/>
      <c r="M69" s="253"/>
      <c r="N69" s="253"/>
      <c r="O69" s="232">
        <f>(J69+K69)*$Y$3</f>
        <v>0.5</v>
      </c>
      <c r="P69" s="232"/>
      <c r="Q69" s="226"/>
      <c r="R69" s="30"/>
      <c r="S69" s="30"/>
      <c r="T69" s="261"/>
      <c r="U69" s="261"/>
      <c r="V69" s="261"/>
      <c r="W69" s="261"/>
      <c r="X69" s="261"/>
      <c r="Y69" s="232">
        <f>(T69+U69)*$Y$3</f>
        <v>0</v>
      </c>
      <c r="Z69" s="232"/>
    </row>
    <row r="70" spans="7:26" ht="15" thickBot="1" x14ac:dyDescent="0.35">
      <c r="G70" s="77" t="s">
        <v>476</v>
      </c>
      <c r="H70" s="503">
        <f t="shared" si="8"/>
        <v>1</v>
      </c>
      <c r="I70" s="506" t="s">
        <v>474</v>
      </c>
      <c r="J70" s="507"/>
      <c r="K70" s="507"/>
      <c r="L70" s="507"/>
      <c r="M70" s="507">
        <v>1</v>
      </c>
      <c r="N70" s="508">
        <v>1</v>
      </c>
      <c r="O70" s="505">
        <f t="shared" si="11"/>
        <v>0</v>
      </c>
      <c r="P70" s="233"/>
      <c r="Q70" s="200"/>
      <c r="R70" s="28"/>
      <c r="S70" s="28"/>
      <c r="T70" s="86"/>
      <c r="U70" s="86"/>
      <c r="V70" s="86"/>
      <c r="W70" s="86"/>
      <c r="X70" s="86"/>
      <c r="Y70" s="233">
        <f>(T70+U70)*$Y$3</f>
        <v>0</v>
      </c>
      <c r="Z70" s="233"/>
    </row>
    <row r="71" spans="7:26" x14ac:dyDescent="0.3">
      <c r="G71" s="502"/>
      <c r="H71" s="503">
        <f t="shared" si="8"/>
        <v>2</v>
      </c>
      <c r="I71" s="57" t="s">
        <v>216</v>
      </c>
      <c r="J71" s="259"/>
      <c r="K71" s="259">
        <v>2</v>
      </c>
      <c r="L71" s="259">
        <v>1</v>
      </c>
      <c r="M71" s="259">
        <v>1</v>
      </c>
      <c r="N71" s="58"/>
      <c r="O71" s="505">
        <f t="shared" si="11"/>
        <v>1</v>
      </c>
      <c r="P71" s="438"/>
      <c r="Q71" s="195"/>
      <c r="R71" s="29"/>
      <c r="S71" s="29"/>
      <c r="T71" s="253"/>
      <c r="U71" s="253"/>
      <c r="V71" s="253"/>
      <c r="W71" s="253"/>
      <c r="X71" s="253"/>
      <c r="Y71" s="438"/>
      <c r="Z71" s="438"/>
    </row>
    <row r="72" spans="7:26" ht="15" thickBot="1" x14ac:dyDescent="0.35">
      <c r="G72" s="79" t="s">
        <v>173</v>
      </c>
      <c r="H72" s="504">
        <f t="shared" si="8"/>
        <v>1</v>
      </c>
      <c r="I72" s="30" t="s">
        <v>457</v>
      </c>
      <c r="J72" s="261"/>
      <c r="K72" s="261">
        <v>1</v>
      </c>
      <c r="L72" s="261"/>
      <c r="M72" s="261"/>
      <c r="N72" s="262"/>
      <c r="O72" s="289">
        <f t="shared" si="11"/>
        <v>0.5</v>
      </c>
      <c r="P72" s="232"/>
      <c r="Q72" s="226"/>
      <c r="R72" s="30"/>
      <c r="S72" s="30"/>
      <c r="T72" s="88"/>
      <c r="U72" s="88"/>
      <c r="V72" s="88"/>
      <c r="W72" s="88"/>
      <c r="X72" s="88"/>
      <c r="Y72" s="232">
        <f>(T72+U72)*$Y$3</f>
        <v>0</v>
      </c>
      <c r="Z72" s="232"/>
    </row>
    <row r="73" spans="7:26" ht="15" thickBot="1" x14ac:dyDescent="0.35"/>
    <row r="74" spans="7:26" ht="15" thickBot="1" x14ac:dyDescent="0.35">
      <c r="G74" s="72" t="s">
        <v>137</v>
      </c>
      <c r="H74" s="184" t="s">
        <v>69</v>
      </c>
      <c r="I74" s="185" t="s">
        <v>237</v>
      </c>
      <c r="J74" s="186" t="s">
        <v>228</v>
      </c>
      <c r="K74" s="187" t="s">
        <v>204</v>
      </c>
      <c r="L74" s="187" t="s">
        <v>100</v>
      </c>
      <c r="M74" s="187" t="s">
        <v>205</v>
      </c>
      <c r="N74" s="187" t="s">
        <v>206</v>
      </c>
      <c r="O74" s="188" t="s">
        <v>27</v>
      </c>
      <c r="P74" s="188" t="s">
        <v>236</v>
      </c>
      <c r="Q74" s="189"/>
      <c r="R74" s="185"/>
      <c r="S74" s="185" t="s">
        <v>237</v>
      </c>
      <c r="T74" s="186" t="s">
        <v>228</v>
      </c>
      <c r="U74" s="187" t="s">
        <v>204</v>
      </c>
      <c r="V74" s="187" t="s">
        <v>100</v>
      </c>
      <c r="W74" s="187" t="s">
        <v>205</v>
      </c>
      <c r="X74" s="187" t="s">
        <v>206</v>
      </c>
      <c r="Y74" s="188" t="s">
        <v>27</v>
      </c>
      <c r="Z74" s="188" t="s">
        <v>236</v>
      </c>
    </row>
    <row r="75" spans="7:26" ht="15" thickBot="1" x14ac:dyDescent="0.35">
      <c r="G75" s="75" t="s">
        <v>174</v>
      </c>
      <c r="H75" s="231">
        <f>MAX(K75:N75)+MAX(U75:X75)</f>
        <v>4</v>
      </c>
      <c r="I75" s="256" t="s">
        <v>475</v>
      </c>
      <c r="J75" s="256"/>
      <c r="K75" s="256"/>
      <c r="L75" s="256"/>
      <c r="M75" s="256">
        <v>1</v>
      </c>
      <c r="N75" s="256">
        <v>3</v>
      </c>
      <c r="O75" s="216">
        <f t="shared" ref="O75:O81" si="12">(J75+K75)*$Y$3</f>
        <v>0</v>
      </c>
      <c r="P75" s="216"/>
      <c r="Q75" s="195"/>
      <c r="R75" t="s">
        <v>130</v>
      </c>
      <c r="S75" t="s">
        <v>451</v>
      </c>
      <c r="V75">
        <v>1</v>
      </c>
      <c r="W75">
        <v>1</v>
      </c>
      <c r="Y75" s="216">
        <f>(T75+U75)*$Y$3</f>
        <v>0</v>
      </c>
      <c r="Z75" s="216"/>
    </row>
    <row r="76" spans="7:26" x14ac:dyDescent="0.3">
      <c r="G76" s="202" t="s">
        <v>242</v>
      </c>
      <c r="H76" s="210">
        <f>MAX(K76:N76)+MAX(U76:X76)</f>
        <v>3</v>
      </c>
      <c r="I76" s="56" t="s">
        <v>485</v>
      </c>
      <c r="J76" s="56"/>
      <c r="K76" s="56"/>
      <c r="L76" s="56"/>
      <c r="M76" s="56">
        <v>1</v>
      </c>
      <c r="N76" s="56">
        <v>1</v>
      </c>
      <c r="O76" s="216">
        <f t="shared" si="12"/>
        <v>0</v>
      </c>
      <c r="P76" s="216"/>
      <c r="Q76" s="195"/>
      <c r="R76" s="266" t="s">
        <v>452</v>
      </c>
      <c r="S76" s="266" t="s">
        <v>521</v>
      </c>
      <c r="T76" s="45"/>
      <c r="U76" s="45">
        <v>2</v>
      </c>
      <c r="V76" s="45"/>
      <c r="W76" s="45"/>
      <c r="Y76" s="216">
        <f>(T76+U76)*$Y$3</f>
        <v>1</v>
      </c>
      <c r="Z76" s="216"/>
    </row>
    <row r="77" spans="7:26" x14ac:dyDescent="0.3">
      <c r="G77" s="202">
        <f>SUM(H75:H79)</f>
        <v>8</v>
      </c>
      <c r="H77" s="210">
        <f>MAX(K77:N77)+MAX(U77:X77)</f>
        <v>1</v>
      </c>
      <c r="I77" s="256" t="s">
        <v>42</v>
      </c>
      <c r="J77" s="256"/>
      <c r="K77" s="256">
        <v>1</v>
      </c>
      <c r="L77" s="256"/>
      <c r="M77" s="256">
        <v>1</v>
      </c>
      <c r="N77" s="56"/>
      <c r="O77" s="216">
        <f t="shared" si="12"/>
        <v>0.5</v>
      </c>
      <c r="P77" s="216"/>
      <c r="Q77" s="195"/>
      <c r="Y77" s="216">
        <f>SUM(T77:U77)*$Y$3</f>
        <v>0</v>
      </c>
      <c r="Z77" s="216"/>
    </row>
    <row r="78" spans="7:26" x14ac:dyDescent="0.3">
      <c r="G78" s="71"/>
      <c r="H78" s="210">
        <f>MAX(K78:N78)+MAX(U78:X78)</f>
        <v>0</v>
      </c>
      <c r="I78" s="501"/>
      <c r="J78" s="56"/>
      <c r="K78" s="56"/>
      <c r="L78" s="56"/>
      <c r="M78" s="56"/>
      <c r="N78" s="56"/>
      <c r="O78" s="216">
        <f t="shared" si="12"/>
        <v>0</v>
      </c>
      <c r="P78" s="216"/>
      <c r="Q78" s="195"/>
      <c r="Y78" s="216">
        <f>SUM(T78:U78)*$Y$3</f>
        <v>0</v>
      </c>
      <c r="Z78" s="216"/>
    </row>
    <row r="79" spans="7:26" ht="15" thickBot="1" x14ac:dyDescent="0.35">
      <c r="G79" s="71"/>
      <c r="H79" s="210">
        <f>MAX(K79:N79)+MAX(U79:X79)</f>
        <v>0</v>
      </c>
      <c r="I79" s="56"/>
      <c r="J79" s="56"/>
      <c r="K79" s="56"/>
      <c r="L79" s="56"/>
      <c r="M79" s="56"/>
      <c r="N79" s="56"/>
      <c r="O79" s="234">
        <f t="shared" si="12"/>
        <v>0</v>
      </c>
      <c r="P79" s="234"/>
      <c r="Q79" s="195"/>
      <c r="Y79" s="234">
        <f>SUM(T79:U79)*$Y$3</f>
        <v>0</v>
      </c>
      <c r="Z79" s="234"/>
    </row>
    <row r="80" spans="7:26" x14ac:dyDescent="0.3">
      <c r="G80" s="77" t="s">
        <v>308</v>
      </c>
      <c r="H80" s="231">
        <f>MAX(K80:N80)+MAX(U80:X80)</f>
        <v>2</v>
      </c>
      <c r="I80" s="93" t="s">
        <v>216</v>
      </c>
      <c r="J80" s="271"/>
      <c r="K80" s="271">
        <v>2</v>
      </c>
      <c r="L80" s="61">
        <v>1</v>
      </c>
      <c r="M80" s="61">
        <v>1</v>
      </c>
      <c r="N80" s="61"/>
      <c r="O80" s="233">
        <f t="shared" si="12"/>
        <v>1</v>
      </c>
      <c r="P80" s="233"/>
      <c r="Q80" s="200"/>
      <c r="R80" s="86"/>
      <c r="S80" s="86"/>
      <c r="T80" s="86"/>
      <c r="U80" s="86"/>
      <c r="V80" s="86"/>
      <c r="W80" s="86"/>
      <c r="X80" s="86"/>
      <c r="Y80" s="233">
        <f>(T80+U80)*$Y$3</f>
        <v>0</v>
      </c>
      <c r="Z80" s="233"/>
    </row>
    <row r="81" spans="7:26" ht="15" thickBot="1" x14ac:dyDescent="0.35">
      <c r="G81" s="79" t="s">
        <v>173</v>
      </c>
      <c r="H81" s="225">
        <f>MAX(K81:N81)+MAX(U81:X81)</f>
        <v>0</v>
      </c>
      <c r="I81" s="30"/>
      <c r="J81" s="88"/>
      <c r="K81" s="88"/>
      <c r="L81" s="88"/>
      <c r="M81" s="88"/>
      <c r="N81" s="88"/>
      <c r="O81" s="232">
        <f t="shared" si="12"/>
        <v>0</v>
      </c>
      <c r="P81" s="232"/>
      <c r="Q81" s="226"/>
      <c r="R81" s="88"/>
      <c r="S81" s="88"/>
      <c r="T81" s="88"/>
      <c r="U81" s="88"/>
      <c r="V81" s="88"/>
      <c r="W81" s="88"/>
      <c r="X81" s="88"/>
      <c r="Y81" s="232">
        <f>(T81+U81)*$Y$3</f>
        <v>0</v>
      </c>
      <c r="Z81" s="232"/>
    </row>
    <row r="82" spans="7:26" x14ac:dyDescent="0.3">
      <c r="G82" s="270" t="s">
        <v>438</v>
      </c>
      <c r="H82" s="231">
        <f>MAX(K82:N82)+MAX(U82:X82)</f>
        <v>1</v>
      </c>
      <c r="I82" s="93" t="s">
        <v>216</v>
      </c>
      <c r="J82" s="271"/>
      <c r="K82" s="271">
        <v>1</v>
      </c>
      <c r="L82" s="271">
        <v>1</v>
      </c>
      <c r="M82" s="271">
        <v>1</v>
      </c>
      <c r="N82" s="271"/>
      <c r="O82" s="233">
        <f>(J82+K82)*$Y$3</f>
        <v>0.5</v>
      </c>
      <c r="P82" s="233"/>
      <c r="Q82" s="200"/>
      <c r="R82" s="274"/>
      <c r="S82" s="274"/>
      <c r="T82" s="274"/>
      <c r="U82" s="274"/>
      <c r="V82" s="274"/>
      <c r="W82" s="274"/>
      <c r="X82" s="274"/>
      <c r="Y82" s="233">
        <f>(T82+U82)*$Y$3</f>
        <v>0</v>
      </c>
      <c r="Z82" s="233"/>
    </row>
    <row r="83" spans="7:26" ht="15" thickBot="1" x14ac:dyDescent="0.35">
      <c r="G83" s="275" t="s">
        <v>173</v>
      </c>
      <c r="H83" s="225">
        <f>MAX(K83:N83)+MAX(U83:X83)</f>
        <v>1</v>
      </c>
      <c r="I83" s="30" t="s">
        <v>458</v>
      </c>
      <c r="J83" s="261"/>
      <c r="K83" s="261">
        <v>1</v>
      </c>
      <c r="L83" s="261"/>
      <c r="M83" s="261"/>
      <c r="N83" s="261"/>
      <c r="O83" s="232">
        <f>(J83+K83)*$Y$3</f>
        <v>0.5</v>
      </c>
      <c r="P83" s="232"/>
      <c r="Q83" s="226"/>
      <c r="R83" s="261"/>
      <c r="S83" s="261"/>
      <c r="T83" s="261"/>
      <c r="U83" s="261"/>
      <c r="V83" s="261"/>
      <c r="W83" s="261"/>
      <c r="X83" s="261"/>
      <c r="Y83" s="232">
        <f>(T83+U83)*$Y$3</f>
        <v>0</v>
      </c>
      <c r="Z83" s="232"/>
    </row>
  </sheetData>
  <mergeCells count="1">
    <mergeCell ref="T4:U4"/>
  </mergeCells>
  <conditionalFormatting sqref="D2">
    <cfRule type="cellIs" dxfId="50" priority="1" operator="lessThan">
      <formula>0</formula>
    </cfRule>
    <cfRule type="cellIs" dxfId="49" priority="2" operator="equal">
      <formula>0</formula>
    </cfRule>
    <cfRule type="cellIs" dxfId="48" priority="3" operator="greaterThan">
      <formula>0</formula>
    </cfRule>
  </conditionalFormatting>
  <conditionalFormatting sqref="D40">
    <cfRule type="cellIs" dxfId="47" priority="4" operator="equal">
      <formula>0</formula>
    </cfRule>
    <cfRule type="cellIs" dxfId="46" priority="5" operator="lessThan">
      <formula>0</formula>
    </cfRule>
    <cfRule type="cellIs" dxfId="45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 tint="-0.34998626667073579"/>
  </sheetPr>
  <dimension ref="A1:Z90"/>
  <sheetViews>
    <sheetView topLeftCell="A51" zoomScale="70" zoomScaleNormal="70" workbookViewId="0">
      <selection activeCell="C72" sqref="C72"/>
    </sheetView>
  </sheetViews>
  <sheetFormatPr defaultColWidth="9.109375" defaultRowHeight="14.4" x14ac:dyDescent="0.3"/>
  <cols>
    <col min="1" max="1" width="9.109375" style="241"/>
    <col min="2" max="2" width="10.6640625" style="241" customWidth="1"/>
    <col min="3" max="3" width="18.109375" style="241" customWidth="1"/>
    <col min="4" max="4" width="9.109375" style="241"/>
    <col min="5" max="6" width="4.109375" style="241" customWidth="1"/>
    <col min="7" max="7" width="19" style="241" customWidth="1"/>
    <col min="8" max="8" width="5.5546875" style="52" customWidth="1"/>
    <col min="9" max="9" width="27.5546875" style="241" customWidth="1"/>
    <col min="10" max="10" width="5.88671875" style="241" customWidth="1"/>
    <col min="11" max="11" width="6.44140625" style="241" customWidth="1"/>
    <col min="12" max="12" width="6.5546875" style="241" customWidth="1"/>
    <col min="13" max="13" width="6.44140625" style="241" customWidth="1"/>
    <col min="14" max="14" width="6.109375" style="241" customWidth="1"/>
    <col min="15" max="15" width="9.109375" style="241"/>
    <col min="16" max="16" width="6.33203125" style="241" customWidth="1"/>
    <col min="17" max="17" width="3.44140625" style="241" customWidth="1"/>
    <col min="18" max="18" width="17.6640625" style="241" customWidth="1"/>
    <col min="19" max="19" width="26.6640625" style="241" customWidth="1"/>
    <col min="20" max="24" width="6" style="241" customWidth="1"/>
    <col min="25" max="25" width="9.109375" style="241"/>
    <col min="26" max="26" width="6.5546875" style="241" customWidth="1"/>
    <col min="27" max="16384" width="9.109375" style="241"/>
  </cols>
  <sheetData>
    <row r="1" spans="1:26" ht="15" thickBot="1" x14ac:dyDescent="0.35"/>
    <row r="2" spans="1:26" x14ac:dyDescent="0.3">
      <c r="C2" s="242" t="s">
        <v>28</v>
      </c>
      <c r="D2" s="242">
        <f>D40+D3+D4</f>
        <v>20.200000000000003</v>
      </c>
      <c r="I2" s="243" t="s">
        <v>33</v>
      </c>
      <c r="J2" s="244">
        <f t="shared" ref="J2:P2" si="0">J6+T6</f>
        <v>19</v>
      </c>
      <c r="K2" s="244">
        <f t="shared" si="0"/>
        <v>37</v>
      </c>
      <c r="L2" s="244">
        <f t="shared" si="0"/>
        <v>38</v>
      </c>
      <c r="M2" s="244">
        <f t="shared" si="0"/>
        <v>38</v>
      </c>
      <c r="N2" s="244">
        <f t="shared" si="0"/>
        <v>15</v>
      </c>
      <c r="O2" s="244">
        <f t="shared" si="0"/>
        <v>27</v>
      </c>
      <c r="P2" s="244">
        <f t="shared" si="0"/>
        <v>0</v>
      </c>
      <c r="W2" s="168" t="s">
        <v>229</v>
      </c>
      <c r="X2" s="169"/>
      <c r="Y2" s="170">
        <v>0.2</v>
      </c>
      <c r="Z2" s="171"/>
    </row>
    <row r="3" spans="1:26" ht="15" thickBot="1" x14ac:dyDescent="0.35">
      <c r="C3" s="245" t="s">
        <v>154</v>
      </c>
      <c r="D3" s="245"/>
      <c r="W3" s="172" t="s">
        <v>227</v>
      </c>
      <c r="X3" s="173"/>
      <c r="Y3" s="174">
        <v>0.5</v>
      </c>
    </row>
    <row r="4" spans="1:26" ht="15" thickBot="1" x14ac:dyDescent="0.35">
      <c r="C4" s="245" t="s">
        <v>155</v>
      </c>
      <c r="D4" s="245">
        <v>0</v>
      </c>
      <c r="I4" s="246" t="s">
        <v>15</v>
      </c>
      <c r="J4" s="246"/>
      <c r="K4" s="246"/>
      <c r="Q4" s="99"/>
      <c r="R4" s="247" t="s">
        <v>11</v>
      </c>
      <c r="S4" s="247"/>
      <c r="T4" s="587" t="s">
        <v>10</v>
      </c>
      <c r="U4" s="587"/>
    </row>
    <row r="5" spans="1:26" ht="15.6" thickTop="1" thickBot="1" x14ac:dyDescent="0.35">
      <c r="G5" s="175" t="s">
        <v>235</v>
      </c>
      <c r="H5" s="176">
        <f>SUM(H8:H92)</f>
        <v>65</v>
      </c>
      <c r="I5" s="246" t="s">
        <v>8</v>
      </c>
      <c r="J5" s="177" t="s">
        <v>228</v>
      </c>
      <c r="K5" s="248" t="s">
        <v>204</v>
      </c>
      <c r="L5" s="248" t="s">
        <v>100</v>
      </c>
      <c r="M5" s="248" t="s">
        <v>205</v>
      </c>
      <c r="N5" s="248" t="s">
        <v>206</v>
      </c>
      <c r="O5" s="248" t="s">
        <v>27</v>
      </c>
      <c r="P5" s="248" t="s">
        <v>236</v>
      </c>
      <c r="Q5" s="99"/>
      <c r="R5" s="247" t="s">
        <v>8</v>
      </c>
      <c r="S5" s="247"/>
      <c r="T5" s="178" t="s">
        <v>228</v>
      </c>
      <c r="U5" s="249" t="s">
        <v>204</v>
      </c>
      <c r="V5" s="249" t="s">
        <v>100</v>
      </c>
      <c r="W5" s="249" t="s">
        <v>205</v>
      </c>
      <c r="X5" s="249" t="s">
        <v>206</v>
      </c>
      <c r="Y5" s="249" t="s">
        <v>27</v>
      </c>
      <c r="Z5" s="248" t="s">
        <v>236</v>
      </c>
    </row>
    <row r="6" spans="1:26" ht="15" thickBot="1" x14ac:dyDescent="0.35">
      <c r="A6" s="365" t="s">
        <v>333</v>
      </c>
      <c r="B6" s="274" t="s">
        <v>0</v>
      </c>
      <c r="C6" s="274" t="s">
        <v>4</v>
      </c>
      <c r="D6" s="272" t="s">
        <v>5</v>
      </c>
      <c r="G6" s="180" t="s">
        <v>213</v>
      </c>
      <c r="H6" s="181">
        <f>H5*50</f>
        <v>3250</v>
      </c>
      <c r="J6" s="244">
        <f>SUM(J10:J152)</f>
        <v>0</v>
      </c>
      <c r="K6" s="244">
        <f>SUM(K10:K152)</f>
        <v>20</v>
      </c>
      <c r="L6" s="244">
        <f>SUM(L10:L152)</f>
        <v>25</v>
      </c>
      <c r="M6" s="244">
        <f>SUM(M10:M152)</f>
        <v>26</v>
      </c>
      <c r="N6" s="244">
        <f>SUM(N9:N152)</f>
        <v>14</v>
      </c>
      <c r="O6" s="244">
        <f>SUM(O10:O152)</f>
        <v>8.5</v>
      </c>
      <c r="P6" s="244"/>
      <c r="Q6" s="99"/>
      <c r="T6" s="244">
        <f t="shared" ref="T6:Y6" si="1">SUM(T14:T152)</f>
        <v>19</v>
      </c>
      <c r="U6" s="244">
        <f t="shared" si="1"/>
        <v>17</v>
      </c>
      <c r="V6" s="244">
        <f t="shared" si="1"/>
        <v>13</v>
      </c>
      <c r="W6" s="244">
        <f t="shared" si="1"/>
        <v>12</v>
      </c>
      <c r="X6" s="244">
        <f t="shared" si="1"/>
        <v>1</v>
      </c>
      <c r="Y6" s="244">
        <f t="shared" si="1"/>
        <v>18.5</v>
      </c>
      <c r="Z6" s="244"/>
    </row>
    <row r="7" spans="1:26" ht="15.6" thickTop="1" thickBot="1" x14ac:dyDescent="0.35">
      <c r="A7" s="366">
        <f>($D$2/5)* 2</f>
        <v>8.0800000000000018</v>
      </c>
      <c r="B7" s="241" t="s">
        <v>467</v>
      </c>
      <c r="C7" s="241" t="s">
        <v>117</v>
      </c>
      <c r="D7" s="254">
        <v>13</v>
      </c>
      <c r="Q7" s="99"/>
    </row>
    <row r="8" spans="1:26" ht="15" thickBot="1" x14ac:dyDescent="0.35">
      <c r="A8" s="366">
        <f>($D$2/5)</f>
        <v>4.0400000000000009</v>
      </c>
      <c r="B8" s="241" t="s">
        <v>158</v>
      </c>
      <c r="C8" s="241" t="s">
        <v>133</v>
      </c>
      <c r="D8" s="254">
        <v>10</v>
      </c>
      <c r="G8" s="183" t="s">
        <v>107</v>
      </c>
      <c r="H8" s="184" t="s">
        <v>69</v>
      </c>
      <c r="I8" s="185" t="s">
        <v>237</v>
      </c>
      <c r="J8" s="186" t="s">
        <v>228</v>
      </c>
      <c r="K8" s="187" t="s">
        <v>204</v>
      </c>
      <c r="L8" s="187" t="s">
        <v>100</v>
      </c>
      <c r="M8" s="187" t="s">
        <v>205</v>
      </c>
      <c r="N8" s="187" t="s">
        <v>206</v>
      </c>
      <c r="O8" s="188" t="s">
        <v>27</v>
      </c>
      <c r="P8" s="188" t="s">
        <v>236</v>
      </c>
      <c r="Q8" s="189"/>
      <c r="R8" s="185" t="s">
        <v>41</v>
      </c>
      <c r="S8" s="185" t="s">
        <v>237</v>
      </c>
      <c r="T8" s="186" t="s">
        <v>228</v>
      </c>
      <c r="U8" s="187" t="s">
        <v>204</v>
      </c>
      <c r="V8" s="187" t="s">
        <v>100</v>
      </c>
      <c r="W8" s="187" t="s">
        <v>205</v>
      </c>
      <c r="X8" s="187" t="s">
        <v>206</v>
      </c>
      <c r="Y8" s="188" t="s">
        <v>27</v>
      </c>
      <c r="Z8" s="188" t="s">
        <v>236</v>
      </c>
    </row>
    <row r="9" spans="1:26" ht="15" thickBot="1" x14ac:dyDescent="0.35">
      <c r="A9" s="366">
        <f>($D$2/5)* 2</f>
        <v>8.0800000000000018</v>
      </c>
      <c r="B9" s="241" t="s">
        <v>160</v>
      </c>
      <c r="C9" s="241" t="s">
        <v>134</v>
      </c>
      <c r="D9" s="254">
        <v>17</v>
      </c>
      <c r="G9" s="264" t="s">
        <v>238</v>
      </c>
      <c r="H9" s="190" t="s">
        <v>239</v>
      </c>
      <c r="I9" s="461" t="s">
        <v>410</v>
      </c>
      <c r="J9" s="192"/>
      <c r="K9" s="192"/>
      <c r="L9" s="192"/>
      <c r="M9" s="192"/>
      <c r="N9" s="193"/>
      <c r="O9" s="194"/>
      <c r="P9" s="194"/>
      <c r="Q9" s="195"/>
      <c r="R9" s="191"/>
      <c r="S9" s="461" t="s">
        <v>410</v>
      </c>
      <c r="T9" s="192"/>
      <c r="U9" s="192"/>
      <c r="V9" s="192"/>
      <c r="W9" s="192"/>
      <c r="X9" s="193"/>
      <c r="Y9" s="194"/>
      <c r="Z9" s="194"/>
    </row>
    <row r="10" spans="1:26" x14ac:dyDescent="0.3">
      <c r="A10" s="29"/>
      <c r="C10" s="241" t="s">
        <v>6</v>
      </c>
      <c r="D10" s="254"/>
      <c r="G10" s="255" t="s">
        <v>240</v>
      </c>
      <c r="H10" s="196" t="s">
        <v>239</v>
      </c>
      <c r="I10" s="454" t="s">
        <v>419</v>
      </c>
      <c r="J10" s="192"/>
      <c r="K10" s="192"/>
      <c r="L10" s="192">
        <v>2</v>
      </c>
      <c r="M10" s="192">
        <v>2</v>
      </c>
      <c r="N10" s="193">
        <v>3</v>
      </c>
      <c r="O10" s="198"/>
      <c r="P10" s="198"/>
      <c r="Q10" s="195"/>
      <c r="R10" s="197"/>
      <c r="S10" s="197"/>
      <c r="T10" s="26"/>
      <c r="U10" s="26"/>
      <c r="V10" s="26"/>
      <c r="W10" s="26"/>
      <c r="X10" s="39"/>
      <c r="Y10" s="198"/>
      <c r="Z10" s="198"/>
    </row>
    <row r="11" spans="1:26" x14ac:dyDescent="0.3">
      <c r="A11" s="29"/>
      <c r="B11" s="241" t="s">
        <v>2</v>
      </c>
      <c r="C11" s="241" t="s">
        <v>6</v>
      </c>
      <c r="D11" s="254"/>
      <c r="G11" s="202" t="s">
        <v>218</v>
      </c>
      <c r="H11" s="196" t="s">
        <v>239</v>
      </c>
      <c r="I11" s="197"/>
      <c r="J11" s="26"/>
      <c r="K11" s="26"/>
      <c r="L11" s="26"/>
      <c r="M11" s="26"/>
      <c r="N11" s="39"/>
      <c r="O11" s="198"/>
      <c r="P11" s="198"/>
      <c r="Q11" s="195"/>
      <c r="R11" s="197"/>
      <c r="S11" s="197"/>
      <c r="T11" s="26"/>
      <c r="U11" s="26"/>
      <c r="V11" s="26"/>
      <c r="W11" s="26"/>
      <c r="X11" s="39"/>
      <c r="Y11" s="198"/>
      <c r="Z11" s="198"/>
    </row>
    <row r="12" spans="1:26" ht="15" thickBot="1" x14ac:dyDescent="0.35">
      <c r="A12" s="29"/>
      <c r="B12" s="241" t="s">
        <v>55</v>
      </c>
      <c r="C12" s="241" t="s">
        <v>6</v>
      </c>
      <c r="D12" s="254"/>
      <c r="G12" s="202">
        <f>SUM(H14:H67)*50</f>
        <v>2450</v>
      </c>
      <c r="H12" s="196" t="s">
        <v>239</v>
      </c>
      <c r="I12" s="197">
        <f>G12/50</f>
        <v>49</v>
      </c>
      <c r="J12" s="26"/>
      <c r="K12" s="26"/>
      <c r="L12" s="26"/>
      <c r="M12" s="26"/>
      <c r="N12" s="39"/>
      <c r="O12" s="198"/>
      <c r="P12" s="198"/>
      <c r="Q12" s="195"/>
      <c r="R12" s="197"/>
      <c r="S12" s="197"/>
      <c r="T12" s="26"/>
      <c r="U12" s="26"/>
      <c r="V12" s="26"/>
      <c r="W12" s="26"/>
      <c r="X12" s="39"/>
      <c r="Y12" s="198"/>
      <c r="Z12" s="198"/>
    </row>
    <row r="13" spans="1:26" ht="15" thickBot="1" x14ac:dyDescent="0.35">
      <c r="A13" s="29"/>
      <c r="B13" s="369" t="s">
        <v>135</v>
      </c>
      <c r="C13" s="369"/>
      <c r="D13" s="254"/>
      <c r="G13" s="250" t="s">
        <v>270</v>
      </c>
      <c r="H13" s="184" t="s">
        <v>69</v>
      </c>
      <c r="I13" s="185" t="s">
        <v>237</v>
      </c>
      <c r="J13" s="186" t="s">
        <v>228</v>
      </c>
      <c r="K13" s="187" t="s">
        <v>204</v>
      </c>
      <c r="L13" s="187" t="s">
        <v>100</v>
      </c>
      <c r="M13" s="187" t="s">
        <v>205</v>
      </c>
      <c r="N13" s="187" t="s">
        <v>206</v>
      </c>
      <c r="O13" s="188" t="s">
        <v>27</v>
      </c>
      <c r="P13" s="188" t="s">
        <v>236</v>
      </c>
      <c r="Q13" s="189"/>
      <c r="R13" s="185" t="s">
        <v>41</v>
      </c>
      <c r="S13" s="185" t="s">
        <v>237</v>
      </c>
      <c r="T13" s="186" t="s">
        <v>228</v>
      </c>
      <c r="U13" s="187" t="s">
        <v>204</v>
      </c>
      <c r="V13" s="187" t="s">
        <v>100</v>
      </c>
      <c r="W13" s="187" t="s">
        <v>205</v>
      </c>
      <c r="X13" s="187" t="s">
        <v>206</v>
      </c>
      <c r="Y13" s="188" t="s">
        <v>27</v>
      </c>
      <c r="Z13" s="188" t="s">
        <v>236</v>
      </c>
    </row>
    <row r="14" spans="1:26" ht="15" thickBot="1" x14ac:dyDescent="0.35">
      <c r="A14" s="29"/>
      <c r="C14" s="258" t="s">
        <v>7</v>
      </c>
      <c r="D14" s="199">
        <f>SUM(D7:D13)</f>
        <v>40</v>
      </c>
      <c r="G14" s="252" t="s">
        <v>335</v>
      </c>
      <c r="H14" s="118" t="s">
        <v>239</v>
      </c>
      <c r="I14" s="201" t="s">
        <v>44</v>
      </c>
      <c r="J14" s="137"/>
      <c r="K14" s="137"/>
      <c r="L14" s="137">
        <v>1</v>
      </c>
      <c r="M14" s="137">
        <v>1</v>
      </c>
      <c r="N14" s="153"/>
      <c r="O14" s="156"/>
      <c r="P14" s="156"/>
      <c r="Q14" s="200"/>
      <c r="R14" s="156"/>
      <c r="S14" s="155"/>
      <c r="T14" s="137"/>
      <c r="U14" s="137"/>
      <c r="V14" s="137"/>
      <c r="W14" s="137"/>
      <c r="X14" s="153"/>
      <c r="Y14" s="156"/>
      <c r="Z14" s="156"/>
    </row>
    <row r="15" spans="1:26" ht="15.6" thickTop="1" thickBot="1" x14ac:dyDescent="0.35">
      <c r="A15" s="30"/>
      <c r="B15" s="261"/>
      <c r="C15" s="261"/>
      <c r="D15" s="262"/>
      <c r="G15" s="202" t="s">
        <v>242</v>
      </c>
      <c r="H15" s="239" t="s">
        <v>239</v>
      </c>
      <c r="I15" s="209" t="s">
        <v>343</v>
      </c>
      <c r="J15" s="205"/>
      <c r="K15" s="205"/>
      <c r="L15" s="205">
        <v>2</v>
      </c>
      <c r="M15" s="205">
        <v>2</v>
      </c>
      <c r="N15" s="206"/>
      <c r="O15" s="207"/>
      <c r="P15" s="207"/>
      <c r="Q15" s="208"/>
      <c r="R15" s="207"/>
      <c r="S15" s="204"/>
      <c r="T15" s="205"/>
      <c r="U15" s="205"/>
      <c r="V15" s="205"/>
      <c r="W15" s="205"/>
      <c r="X15" s="206"/>
      <c r="Y15" s="207"/>
      <c r="Z15" s="207"/>
    </row>
    <row r="16" spans="1:26" ht="15" thickBot="1" x14ac:dyDescent="0.35">
      <c r="G16" s="202">
        <f>SUM(H16:H31)</f>
        <v>18</v>
      </c>
      <c r="H16" s="231">
        <f>MAX(K16:N16)+MAX(U16:X16)</f>
        <v>6</v>
      </c>
      <c r="I16" s="266" t="s">
        <v>92</v>
      </c>
      <c r="J16" s="266"/>
      <c r="K16" s="266">
        <v>1</v>
      </c>
      <c r="L16" s="266">
        <v>1</v>
      </c>
      <c r="M16" s="266">
        <v>3</v>
      </c>
      <c r="N16" s="266">
        <v>6</v>
      </c>
      <c r="O16" s="216">
        <f t="shared" ref="O16:O31" si="2">(J16+K16)*$Y$3</f>
        <v>0.5</v>
      </c>
      <c r="P16" s="211"/>
      <c r="Q16" s="195"/>
      <c r="R16" s="334"/>
      <c r="S16" s="333"/>
      <c r="T16" s="213"/>
      <c r="U16" s="213"/>
      <c r="V16" s="213"/>
      <c r="W16" s="213"/>
      <c r="X16" s="214"/>
      <c r="Y16" s="211">
        <f>(T16+U16)*$Y$3</f>
        <v>0</v>
      </c>
      <c r="Z16" s="211"/>
    </row>
    <row r="17" spans="1:26" x14ac:dyDescent="0.3">
      <c r="A17" s="28" t="s">
        <v>19</v>
      </c>
      <c r="B17" s="274"/>
      <c r="C17" s="274" t="s">
        <v>13</v>
      </c>
      <c r="D17" s="215">
        <f>(J6+K6)*$Y$3</f>
        <v>10</v>
      </c>
      <c r="G17" s="255"/>
      <c r="H17" s="210">
        <f t="shared" ref="H17:H31" si="3">MAX(K17:N17)+MAX(U17:X17)</f>
        <v>0</v>
      </c>
      <c r="I17" s="266"/>
      <c r="J17" s="266"/>
      <c r="K17" s="266"/>
      <c r="L17" s="266"/>
      <c r="M17" s="266"/>
      <c r="N17" s="266"/>
      <c r="O17" s="216">
        <f t="shared" si="2"/>
        <v>0</v>
      </c>
      <c r="P17" s="216"/>
      <c r="Q17" s="195"/>
      <c r="R17" s="265"/>
      <c r="S17" s="259"/>
      <c r="T17" s="266"/>
      <c r="U17" s="266"/>
      <c r="V17" s="266"/>
      <c r="W17" s="266"/>
      <c r="Y17" s="216">
        <f t="shared" ref="Y17:Y31" si="4">(T17+U17)*$Y$3</f>
        <v>0</v>
      </c>
      <c r="Z17" s="216"/>
    </row>
    <row r="18" spans="1:26" ht="15" thickBot="1" x14ac:dyDescent="0.35">
      <c r="A18" s="29"/>
      <c r="C18" s="258" t="s">
        <v>14</v>
      </c>
      <c r="D18" s="217">
        <f>(J2+K2)*$Y$2</f>
        <v>11.200000000000001</v>
      </c>
      <c r="G18" s="255"/>
      <c r="H18" s="210">
        <f t="shared" si="3"/>
        <v>1</v>
      </c>
      <c r="I18" s="266" t="s">
        <v>317</v>
      </c>
      <c r="J18" s="266"/>
      <c r="K18" s="266"/>
      <c r="L18" s="266"/>
      <c r="M18" s="266">
        <v>1</v>
      </c>
      <c r="N18" s="266"/>
      <c r="O18" s="216">
        <f t="shared" si="2"/>
        <v>0</v>
      </c>
      <c r="P18" s="216"/>
      <c r="Q18" s="195"/>
      <c r="R18" s="265"/>
      <c r="S18" s="259"/>
      <c r="T18" s="266"/>
      <c r="U18" s="266"/>
      <c r="V18" s="266"/>
      <c r="W18" s="266"/>
      <c r="Y18" s="216">
        <f t="shared" si="4"/>
        <v>0</v>
      </c>
      <c r="Z18" s="216"/>
    </row>
    <row r="19" spans="1:26" ht="15.6" thickTop="1" thickBot="1" x14ac:dyDescent="0.35">
      <c r="A19" s="30"/>
      <c r="B19" s="261"/>
      <c r="C19" s="218" t="s">
        <v>7</v>
      </c>
      <c r="D19" s="219">
        <f>SUM(D17:D18)</f>
        <v>21.200000000000003</v>
      </c>
      <c r="G19" s="255"/>
      <c r="H19" s="210">
        <f t="shared" si="3"/>
        <v>1</v>
      </c>
      <c r="I19" s="266" t="s">
        <v>52</v>
      </c>
      <c r="J19" s="266"/>
      <c r="K19" s="266"/>
      <c r="L19" s="266">
        <v>1</v>
      </c>
      <c r="M19" s="266"/>
      <c r="N19" s="266"/>
      <c r="O19" s="216">
        <f t="shared" si="2"/>
        <v>0</v>
      </c>
      <c r="P19" s="216"/>
      <c r="Q19" s="293"/>
      <c r="R19" s="338" t="s">
        <v>53</v>
      </c>
      <c r="S19" s="326"/>
      <c r="T19" s="309">
        <v>2</v>
      </c>
      <c r="U19" s="309"/>
      <c r="V19" s="309"/>
      <c r="W19" s="309"/>
      <c r="X19" s="335"/>
      <c r="Y19" s="216">
        <f t="shared" si="4"/>
        <v>1</v>
      </c>
      <c r="Z19" s="216"/>
    </row>
    <row r="20" spans="1:26" ht="15" thickBot="1" x14ac:dyDescent="0.35">
      <c r="G20" s="255"/>
      <c r="H20" s="210">
        <f t="shared" si="3"/>
        <v>2</v>
      </c>
      <c r="I20" s="266" t="s">
        <v>132</v>
      </c>
      <c r="J20" s="266"/>
      <c r="K20" s="266"/>
      <c r="L20" s="266">
        <v>1</v>
      </c>
      <c r="M20" s="266"/>
      <c r="N20" s="266"/>
      <c r="O20" s="216">
        <f t="shared" si="2"/>
        <v>0</v>
      </c>
      <c r="P20" s="216"/>
      <c r="Q20" s="293"/>
      <c r="R20" s="339" t="s">
        <v>103</v>
      </c>
      <c r="S20" s="65" t="s">
        <v>43</v>
      </c>
      <c r="T20" s="66"/>
      <c r="U20" s="66">
        <v>1</v>
      </c>
      <c r="V20" s="66"/>
      <c r="W20" s="66"/>
      <c r="X20" s="336"/>
      <c r="Y20" s="216">
        <f t="shared" si="4"/>
        <v>0.5</v>
      </c>
      <c r="Z20" s="216"/>
    </row>
    <row r="21" spans="1:26" x14ac:dyDescent="0.3">
      <c r="A21" s="220" t="s">
        <v>243</v>
      </c>
      <c r="B21" s="274"/>
      <c r="C21" s="274"/>
      <c r="D21" s="272"/>
      <c r="G21" s="453" t="s">
        <v>392</v>
      </c>
      <c r="H21" s="210">
        <f t="shared" si="3"/>
        <v>1</v>
      </c>
      <c r="I21" s="266" t="s">
        <v>106</v>
      </c>
      <c r="J21" s="266"/>
      <c r="K21" s="266"/>
      <c r="L21" s="266">
        <v>1</v>
      </c>
      <c r="M21" s="266">
        <v>1</v>
      </c>
      <c r="N21" s="266"/>
      <c r="O21" s="216">
        <f t="shared" si="2"/>
        <v>0</v>
      </c>
      <c r="P21" s="216"/>
      <c r="Q21" s="293"/>
      <c r="R21" s="319"/>
      <c r="S21" s="65" t="s">
        <v>435</v>
      </c>
      <c r="T21" s="66">
        <v>3</v>
      </c>
      <c r="U21" s="66"/>
      <c r="V21" s="66"/>
      <c r="W21" s="66"/>
      <c r="X21" s="336"/>
      <c r="Y21" s="216">
        <f t="shared" si="4"/>
        <v>1.5</v>
      </c>
      <c r="Z21" s="216"/>
    </row>
    <row r="22" spans="1:26" x14ac:dyDescent="0.3">
      <c r="A22" s="221"/>
      <c r="B22" s="157" t="s">
        <v>232</v>
      </c>
      <c r="C22" s="157"/>
      <c r="D22" s="158"/>
      <c r="G22" s="255"/>
      <c r="H22" s="210">
        <f t="shared" si="3"/>
        <v>1</v>
      </c>
      <c r="I22" s="266" t="s">
        <v>329</v>
      </c>
      <c r="J22" s="266"/>
      <c r="K22" s="266"/>
      <c r="L22" s="266">
        <v>1</v>
      </c>
      <c r="M22" s="266">
        <v>1</v>
      </c>
      <c r="N22" s="266"/>
      <c r="O22" s="216">
        <f t="shared" si="2"/>
        <v>0</v>
      </c>
      <c r="P22" s="216"/>
      <c r="Q22" s="293"/>
      <c r="R22" s="319"/>
      <c r="S22" s="65" t="s">
        <v>139</v>
      </c>
      <c r="T22" s="66">
        <v>2</v>
      </c>
      <c r="U22" s="66"/>
      <c r="V22" s="66"/>
      <c r="W22" s="66"/>
      <c r="X22" s="336"/>
      <c r="Y22" s="216">
        <f t="shared" si="4"/>
        <v>1</v>
      </c>
      <c r="Z22" s="216"/>
    </row>
    <row r="23" spans="1:26" x14ac:dyDescent="0.3">
      <c r="A23" s="29"/>
      <c r="B23" s="159"/>
      <c r="C23" s="24" t="s">
        <v>20</v>
      </c>
      <c r="D23" s="25">
        <f>B23*0.5</f>
        <v>0</v>
      </c>
      <c r="G23" s="255"/>
      <c r="H23" s="210">
        <f t="shared" si="3"/>
        <v>3</v>
      </c>
      <c r="I23" s="266" t="s">
        <v>95</v>
      </c>
      <c r="J23" s="266"/>
      <c r="K23" s="266"/>
      <c r="L23" s="266">
        <v>1</v>
      </c>
      <c r="M23" s="266">
        <v>2</v>
      </c>
      <c r="N23" s="266"/>
      <c r="O23" s="216">
        <f>(J23+K23)*$Y$3</f>
        <v>0</v>
      </c>
      <c r="P23" s="216"/>
      <c r="Q23" s="293"/>
      <c r="R23" s="319"/>
      <c r="S23" s="65" t="s">
        <v>45</v>
      </c>
      <c r="T23" s="66"/>
      <c r="U23" s="66">
        <v>1</v>
      </c>
      <c r="V23" s="66"/>
      <c r="W23" s="66"/>
      <c r="X23" s="336"/>
      <c r="Y23" s="216">
        <f t="shared" si="4"/>
        <v>0.5</v>
      </c>
      <c r="Z23" s="216"/>
    </row>
    <row r="24" spans="1:26" x14ac:dyDescent="0.3">
      <c r="A24" s="29"/>
      <c r="B24" s="159">
        <v>2</v>
      </c>
      <c r="C24" s="24" t="s">
        <v>21</v>
      </c>
      <c r="D24" s="25">
        <v>1</v>
      </c>
      <c r="G24" s="255"/>
      <c r="H24" s="210">
        <f>MAX(K24:N24)+MAX(U24:X24)</f>
        <v>1</v>
      </c>
      <c r="I24" s="266"/>
      <c r="J24" s="266"/>
      <c r="K24" s="266"/>
      <c r="L24" s="266"/>
      <c r="M24" s="266"/>
      <c r="N24" s="266"/>
      <c r="O24" s="216">
        <f>(J24+K24)*$Y$3</f>
        <v>0</v>
      </c>
      <c r="P24" s="216"/>
      <c r="Q24" s="293"/>
      <c r="R24" s="319"/>
      <c r="S24" s="65" t="s">
        <v>91</v>
      </c>
      <c r="T24" s="66"/>
      <c r="U24" s="66">
        <v>1</v>
      </c>
      <c r="V24" s="66"/>
      <c r="W24" s="66"/>
      <c r="X24" s="336"/>
      <c r="Y24" s="216">
        <f t="shared" si="4"/>
        <v>0.5</v>
      </c>
      <c r="Z24" s="216"/>
    </row>
    <row r="25" spans="1:26" x14ac:dyDescent="0.3">
      <c r="A25" s="29"/>
      <c r="B25" s="159">
        <v>1</v>
      </c>
      <c r="C25" s="24" t="s">
        <v>22</v>
      </c>
      <c r="D25" s="25">
        <v>2</v>
      </c>
      <c r="G25" s="255"/>
      <c r="H25" s="210">
        <f t="shared" si="3"/>
        <v>1</v>
      </c>
      <c r="I25" s="266"/>
      <c r="J25" s="266"/>
      <c r="K25" s="266"/>
      <c r="L25" s="266"/>
      <c r="M25" s="266"/>
      <c r="N25" s="266"/>
      <c r="O25" s="216">
        <f t="shared" si="2"/>
        <v>0</v>
      </c>
      <c r="P25" s="216"/>
      <c r="Q25" s="293"/>
      <c r="R25" s="321"/>
      <c r="S25" s="322" t="s">
        <v>76</v>
      </c>
      <c r="T25" s="314"/>
      <c r="U25" s="314">
        <v>1</v>
      </c>
      <c r="V25" s="314"/>
      <c r="W25" s="314">
        <v>1</v>
      </c>
      <c r="X25" s="337"/>
      <c r="Y25" s="216">
        <f t="shared" si="4"/>
        <v>0.5</v>
      </c>
      <c r="Z25" s="216"/>
    </row>
    <row r="26" spans="1:26" x14ac:dyDescent="0.3">
      <c r="A26" s="29"/>
      <c r="B26" s="159">
        <v>2</v>
      </c>
      <c r="C26" s="24" t="s">
        <v>23</v>
      </c>
      <c r="D26" s="25">
        <v>4</v>
      </c>
      <c r="G26" s="255"/>
      <c r="H26" s="210">
        <f t="shared" si="3"/>
        <v>0</v>
      </c>
      <c r="I26" s="266"/>
      <c r="J26" s="266"/>
      <c r="K26" s="266"/>
      <c r="L26" s="266"/>
      <c r="M26" s="266"/>
      <c r="N26" s="266"/>
      <c r="O26" s="216">
        <f t="shared" si="2"/>
        <v>0</v>
      </c>
      <c r="P26" s="216"/>
      <c r="Q26" s="195"/>
      <c r="R26" s="265"/>
      <c r="S26" s="259"/>
      <c r="T26" s="266"/>
      <c r="U26" s="266"/>
      <c r="V26" s="266"/>
      <c r="W26" s="266"/>
      <c r="Y26" s="216">
        <f>(T26+U26)*$Y$3</f>
        <v>0</v>
      </c>
      <c r="Z26" s="216"/>
    </row>
    <row r="27" spans="1:26" ht="15" thickBot="1" x14ac:dyDescent="0.35">
      <c r="A27" s="30"/>
      <c r="B27" s="160"/>
      <c r="C27" s="161" t="s">
        <v>25</v>
      </c>
      <c r="D27" s="162">
        <f>SUM(D23:D26)</f>
        <v>7</v>
      </c>
      <c r="G27" s="255"/>
      <c r="H27" s="210">
        <f t="shared" si="3"/>
        <v>1</v>
      </c>
      <c r="L27" s="266"/>
      <c r="M27" s="266"/>
      <c r="N27" s="266"/>
      <c r="O27" s="216">
        <f t="shared" si="2"/>
        <v>0</v>
      </c>
      <c r="P27" s="216"/>
      <c r="Q27" s="195"/>
      <c r="R27" s="265" t="s">
        <v>74</v>
      </c>
      <c r="S27" s="266" t="s">
        <v>441</v>
      </c>
      <c r="T27" s="266"/>
      <c r="U27" s="266">
        <v>1</v>
      </c>
      <c r="V27" s="266">
        <v>1</v>
      </c>
      <c r="W27" s="266">
        <v>1</v>
      </c>
      <c r="X27" s="266">
        <v>1</v>
      </c>
      <c r="Y27" s="216">
        <f t="shared" si="4"/>
        <v>0.5</v>
      </c>
      <c r="Z27" s="216"/>
    </row>
    <row r="28" spans="1:26" ht="15" thickBot="1" x14ac:dyDescent="0.35">
      <c r="G28" s="255"/>
      <c r="H28" s="210">
        <f t="shared" si="3"/>
        <v>0</v>
      </c>
      <c r="I28" s="266"/>
      <c r="J28" s="266"/>
      <c r="K28" s="266"/>
      <c r="L28" s="266"/>
      <c r="M28" s="266"/>
      <c r="N28" s="266"/>
      <c r="O28" s="216">
        <f t="shared" si="2"/>
        <v>0</v>
      </c>
      <c r="P28" s="216"/>
      <c r="Q28" s="195"/>
      <c r="R28" s="265"/>
      <c r="S28" s="259"/>
      <c r="T28" s="266"/>
      <c r="U28" s="266"/>
      <c r="V28" s="266"/>
      <c r="W28" s="266"/>
      <c r="Y28" s="216">
        <f t="shared" si="4"/>
        <v>0</v>
      </c>
      <c r="Z28" s="216"/>
    </row>
    <row r="29" spans="1:26" x14ac:dyDescent="0.3">
      <c r="A29" s="220" t="s">
        <v>244</v>
      </c>
      <c r="B29" s="274"/>
      <c r="C29" s="274"/>
      <c r="D29" s="272"/>
      <c r="G29" s="255"/>
      <c r="H29" s="210">
        <f t="shared" si="3"/>
        <v>0</v>
      </c>
      <c r="I29" s="266"/>
      <c r="J29" s="266"/>
      <c r="K29" s="266"/>
      <c r="L29" s="266"/>
      <c r="M29" s="266"/>
      <c r="N29" s="266"/>
      <c r="O29" s="216">
        <f t="shared" si="2"/>
        <v>0</v>
      </c>
      <c r="P29" s="216"/>
      <c r="Q29" s="195"/>
      <c r="R29" s="265"/>
      <c r="S29" s="259"/>
      <c r="T29" s="266"/>
      <c r="U29" s="266"/>
      <c r="V29" s="266"/>
      <c r="W29" s="266"/>
      <c r="Y29" s="216">
        <f t="shared" si="4"/>
        <v>0</v>
      </c>
      <c r="Z29" s="216"/>
    </row>
    <row r="30" spans="1:26" x14ac:dyDescent="0.3">
      <c r="A30" s="221"/>
      <c r="C30" s="241" t="s">
        <v>26</v>
      </c>
      <c r="D30" s="254">
        <f>P2</f>
        <v>0</v>
      </c>
      <c r="G30" s="255"/>
      <c r="H30" s="210">
        <f t="shared" si="3"/>
        <v>0</v>
      </c>
      <c r="I30" s="266"/>
      <c r="J30" s="266"/>
      <c r="K30" s="266"/>
      <c r="L30" s="266"/>
      <c r="M30" s="266"/>
      <c r="N30" s="266"/>
      <c r="O30" s="216">
        <f t="shared" si="2"/>
        <v>0</v>
      </c>
      <c r="P30" s="216"/>
      <c r="Q30" s="195"/>
      <c r="R30" s="265"/>
      <c r="S30" s="259"/>
      <c r="T30" s="266"/>
      <c r="U30" s="266"/>
      <c r="V30" s="266"/>
      <c r="W30" s="266"/>
      <c r="Y30" s="216">
        <f t="shared" si="4"/>
        <v>0</v>
      </c>
      <c r="Z30" s="216"/>
    </row>
    <row r="31" spans="1:26" ht="15" thickBot="1" x14ac:dyDescent="0.35">
      <c r="A31" s="29"/>
      <c r="B31" s="157" t="s">
        <v>232</v>
      </c>
      <c r="C31" s="157"/>
      <c r="D31" s="224"/>
      <c r="G31" s="260"/>
      <c r="H31" s="225">
        <f t="shared" si="3"/>
        <v>0</v>
      </c>
      <c r="I31" s="269"/>
      <c r="J31" s="269"/>
      <c r="K31" s="269"/>
      <c r="L31" s="269"/>
      <c r="M31" s="269"/>
      <c r="N31" s="269"/>
      <c r="O31" s="216">
        <f t="shared" si="2"/>
        <v>0</v>
      </c>
      <c r="P31" s="216"/>
      <c r="Q31" s="226"/>
      <c r="R31" s="268"/>
      <c r="S31" s="269"/>
      <c r="T31" s="269"/>
      <c r="U31" s="269"/>
      <c r="V31" s="269"/>
      <c r="W31" s="269"/>
      <c r="X31" s="261"/>
      <c r="Y31" s="232">
        <f t="shared" si="4"/>
        <v>0</v>
      </c>
      <c r="Z31" s="216"/>
    </row>
    <row r="32" spans="1:26" ht="15" thickBot="1" x14ac:dyDescent="0.35">
      <c r="A32" s="29"/>
      <c r="B32" s="159"/>
      <c r="C32" s="24" t="s">
        <v>16</v>
      </c>
      <c r="D32" s="25">
        <f>INT(B32/4)</f>
        <v>0</v>
      </c>
      <c r="G32" s="183" t="s">
        <v>258</v>
      </c>
      <c r="H32" s="184" t="s">
        <v>69</v>
      </c>
      <c r="I32" s="185" t="s">
        <v>237</v>
      </c>
      <c r="J32" s="186" t="s">
        <v>228</v>
      </c>
      <c r="K32" s="187" t="s">
        <v>204</v>
      </c>
      <c r="L32" s="187" t="s">
        <v>100</v>
      </c>
      <c r="M32" s="187" t="s">
        <v>205</v>
      </c>
      <c r="N32" s="187" t="s">
        <v>206</v>
      </c>
      <c r="O32" s="188" t="s">
        <v>27</v>
      </c>
      <c r="P32" s="188" t="s">
        <v>236</v>
      </c>
      <c r="Q32" s="189"/>
      <c r="R32" s="185" t="s">
        <v>41</v>
      </c>
      <c r="S32" s="185" t="s">
        <v>237</v>
      </c>
      <c r="T32" s="186" t="s">
        <v>228</v>
      </c>
      <c r="U32" s="187" t="s">
        <v>204</v>
      </c>
      <c r="V32" s="187" t="s">
        <v>100</v>
      </c>
      <c r="W32" s="187" t="s">
        <v>205</v>
      </c>
      <c r="X32" s="187" t="s">
        <v>206</v>
      </c>
      <c r="Y32" s="188" t="s">
        <v>27</v>
      </c>
      <c r="Z32" s="188" t="s">
        <v>236</v>
      </c>
    </row>
    <row r="33" spans="1:26" ht="15" thickBot="1" x14ac:dyDescent="0.35">
      <c r="A33" s="29"/>
      <c r="B33" s="159"/>
      <c r="C33" s="24" t="s">
        <v>17</v>
      </c>
      <c r="D33" s="25">
        <f>INT(B33/3)</f>
        <v>0</v>
      </c>
      <c r="G33" s="264" t="s">
        <v>444</v>
      </c>
      <c r="H33" s="118" t="s">
        <v>239</v>
      </c>
      <c r="I33" s="201" t="s">
        <v>44</v>
      </c>
      <c r="J33" s="137"/>
      <c r="K33" s="137"/>
      <c r="L33" s="137">
        <v>1</v>
      </c>
      <c r="M33" s="137">
        <v>1</v>
      </c>
      <c r="N33" s="153"/>
      <c r="O33" s="156"/>
      <c r="P33" s="156"/>
      <c r="Q33" s="200"/>
      <c r="R33" s="156"/>
      <c r="S33" s="155"/>
      <c r="T33" s="137"/>
      <c r="U33" s="137"/>
      <c r="V33" s="137"/>
      <c r="W33" s="137"/>
      <c r="X33" s="153"/>
      <c r="Y33" s="156"/>
      <c r="Z33" s="156"/>
    </row>
    <row r="34" spans="1:26" ht="15" thickBot="1" x14ac:dyDescent="0.35">
      <c r="A34" s="29"/>
      <c r="B34" s="159"/>
      <c r="C34" s="24" t="s">
        <v>18</v>
      </c>
      <c r="D34" s="25">
        <f>B34</f>
        <v>0</v>
      </c>
      <c r="G34" s="202" t="s">
        <v>242</v>
      </c>
      <c r="H34" s="239" t="s">
        <v>239</v>
      </c>
      <c r="I34" s="209" t="s">
        <v>343</v>
      </c>
      <c r="J34" s="205"/>
      <c r="K34" s="205"/>
      <c r="L34" s="205">
        <v>2</v>
      </c>
      <c r="M34" s="205">
        <v>2</v>
      </c>
      <c r="N34" s="206"/>
      <c r="O34" s="207"/>
      <c r="P34" s="207"/>
      <c r="Q34" s="208"/>
      <c r="R34" s="207"/>
      <c r="S34" s="204"/>
      <c r="T34" s="205"/>
      <c r="U34" s="205"/>
      <c r="V34" s="205"/>
      <c r="W34" s="205"/>
      <c r="X34" s="206"/>
      <c r="Y34" s="207"/>
      <c r="Z34" s="207"/>
    </row>
    <row r="35" spans="1:26" x14ac:dyDescent="0.3">
      <c r="A35" s="29"/>
      <c r="C35" s="241" t="s">
        <v>12</v>
      </c>
      <c r="D35" s="136">
        <f>INT((D14-10)/5)</f>
        <v>6</v>
      </c>
      <c r="G35" s="202">
        <f>SUM(H35:H50)</f>
        <v>15</v>
      </c>
      <c r="H35" s="231">
        <f>MAX(K35:N35)+MAX(U35:X35)</f>
        <v>2</v>
      </c>
      <c r="I35" s="266"/>
      <c r="J35" s="266"/>
      <c r="K35" s="266"/>
      <c r="L35" s="266"/>
      <c r="M35" s="266"/>
      <c r="O35" s="211">
        <f>(J35+K35)*$Y$3</f>
        <v>0</v>
      </c>
      <c r="P35" s="211"/>
      <c r="Q35" s="195"/>
      <c r="R35" s="334" t="s">
        <v>210</v>
      </c>
      <c r="S35" s="333" t="s">
        <v>346</v>
      </c>
      <c r="T35" s="213">
        <v>2</v>
      </c>
      <c r="U35" s="213"/>
      <c r="V35" s="213">
        <v>2</v>
      </c>
      <c r="W35" s="213">
        <v>1</v>
      </c>
      <c r="X35" s="214"/>
      <c r="Y35" s="211">
        <f>(T35+U35)*$Y$3</f>
        <v>1</v>
      </c>
      <c r="Z35" s="211"/>
    </row>
    <row r="36" spans="1:26" ht="15" thickBot="1" x14ac:dyDescent="0.35">
      <c r="A36" s="29"/>
      <c r="C36" s="263" t="s">
        <v>7</v>
      </c>
      <c r="D36" s="229">
        <f>(D30+D35)-D27</f>
        <v>-1</v>
      </c>
      <c r="G36" s="265"/>
      <c r="H36" s="210">
        <f t="shared" ref="H36:H50" si="5">MAX(K36:N36)+MAX(U36:X36)</f>
        <v>2</v>
      </c>
      <c r="L36" s="266"/>
      <c r="M36" s="266"/>
      <c r="N36" s="266"/>
      <c r="O36" s="216">
        <f t="shared" ref="O36:O50" si="6">(J36+K36)*$Y$3</f>
        <v>0</v>
      </c>
      <c r="P36" s="216"/>
      <c r="Q36" s="195"/>
      <c r="R36" s="265" t="s">
        <v>125</v>
      </c>
      <c r="S36" s="259" t="s">
        <v>88</v>
      </c>
      <c r="T36" s="266">
        <v>2</v>
      </c>
      <c r="U36" s="266"/>
      <c r="V36" s="266">
        <v>2</v>
      </c>
      <c r="W36" s="266">
        <v>2</v>
      </c>
      <c r="Y36" s="216">
        <f t="shared" ref="Y36:Y50" si="7">(T36+U36)*$Y$3</f>
        <v>1</v>
      </c>
      <c r="Z36" s="216"/>
    </row>
    <row r="37" spans="1:26" ht="15.6" thickTop="1" thickBot="1" x14ac:dyDescent="0.35">
      <c r="A37" s="30"/>
      <c r="B37" s="261"/>
      <c r="C37" s="261" t="s">
        <v>34</v>
      </c>
      <c r="D37" s="262">
        <f>IF(D36&gt;=0,0,D36)</f>
        <v>-1</v>
      </c>
      <c r="G37" s="265"/>
      <c r="H37" s="210">
        <f t="shared" si="5"/>
        <v>1</v>
      </c>
      <c r="I37" s="266"/>
      <c r="J37" s="266"/>
      <c r="K37" s="266"/>
      <c r="L37" s="266"/>
      <c r="M37" s="266"/>
      <c r="N37" s="266"/>
      <c r="O37" s="216">
        <f t="shared" si="6"/>
        <v>0</v>
      </c>
      <c r="P37" s="216"/>
      <c r="Q37" s="195"/>
      <c r="R37" s="265"/>
      <c r="S37" s="259" t="s">
        <v>144</v>
      </c>
      <c r="T37" s="266"/>
      <c r="U37" s="266"/>
      <c r="V37" s="266">
        <v>1</v>
      </c>
      <c r="W37" s="266">
        <v>1</v>
      </c>
      <c r="Y37" s="216">
        <f t="shared" si="7"/>
        <v>0</v>
      </c>
      <c r="Z37" s="216"/>
    </row>
    <row r="38" spans="1:26" x14ac:dyDescent="0.3">
      <c r="G38" s="265"/>
      <c r="H38" s="210">
        <f t="shared" si="5"/>
        <v>2</v>
      </c>
      <c r="I38" s="266" t="s">
        <v>334</v>
      </c>
      <c r="J38" s="266"/>
      <c r="K38" s="266"/>
      <c r="L38" s="266">
        <v>1</v>
      </c>
      <c r="M38" s="266">
        <v>1</v>
      </c>
      <c r="N38" s="266"/>
      <c r="O38" s="216">
        <f t="shared" si="6"/>
        <v>0</v>
      </c>
      <c r="P38" s="216"/>
      <c r="Q38" s="195"/>
      <c r="R38" s="265" t="s">
        <v>246</v>
      </c>
      <c r="S38" s="259" t="s">
        <v>336</v>
      </c>
      <c r="T38" s="266"/>
      <c r="U38" s="266">
        <v>1</v>
      </c>
      <c r="V38" s="266">
        <v>1</v>
      </c>
      <c r="W38" s="266">
        <v>1</v>
      </c>
      <c r="Y38" s="216">
        <f t="shared" si="7"/>
        <v>0.5</v>
      </c>
      <c r="Z38" s="216"/>
    </row>
    <row r="39" spans="1:26" x14ac:dyDescent="0.3">
      <c r="G39" s="452" t="s">
        <v>390</v>
      </c>
      <c r="H39" s="210">
        <f t="shared" si="5"/>
        <v>0</v>
      </c>
      <c r="I39" s="266"/>
      <c r="J39" s="266"/>
      <c r="K39" s="266"/>
      <c r="L39" s="266"/>
      <c r="M39" s="266"/>
      <c r="N39" s="266"/>
      <c r="O39" s="216">
        <f t="shared" si="6"/>
        <v>0</v>
      </c>
      <c r="P39" s="216"/>
      <c r="Q39" s="195"/>
      <c r="R39" s="265"/>
      <c r="S39" s="266"/>
      <c r="T39" s="266"/>
      <c r="U39" s="266"/>
      <c r="V39" s="266"/>
      <c r="W39" s="266"/>
      <c r="Y39" s="216">
        <f t="shared" si="7"/>
        <v>0</v>
      </c>
      <c r="Z39" s="216"/>
    </row>
    <row r="40" spans="1:26" ht="15" thickBot="1" x14ac:dyDescent="0.35">
      <c r="C40" s="267" t="s">
        <v>27</v>
      </c>
      <c r="D40" s="267">
        <f>D19+D37</f>
        <v>20.200000000000003</v>
      </c>
      <c r="G40" s="265"/>
      <c r="H40" s="210">
        <f t="shared" si="5"/>
        <v>2</v>
      </c>
      <c r="I40" s="241" t="s">
        <v>552</v>
      </c>
      <c r="J40" s="266"/>
      <c r="K40" s="266">
        <v>1</v>
      </c>
      <c r="L40" s="266">
        <v>2</v>
      </c>
      <c r="M40" s="266">
        <v>1</v>
      </c>
      <c r="N40" s="266"/>
      <c r="O40" s="216">
        <f t="shared" si="6"/>
        <v>0.5</v>
      </c>
      <c r="P40" s="216"/>
      <c r="Q40" s="195"/>
      <c r="R40" s="265"/>
      <c r="S40" s="266"/>
      <c r="T40" s="266"/>
      <c r="U40" s="266"/>
      <c r="V40" s="266"/>
      <c r="W40" s="266"/>
      <c r="Y40" s="216">
        <f t="shared" si="7"/>
        <v>0</v>
      </c>
      <c r="Z40" s="216"/>
    </row>
    <row r="41" spans="1:26" ht="15" thickTop="1" x14ac:dyDescent="0.3">
      <c r="G41" s="265"/>
      <c r="H41" s="210">
        <f t="shared" si="5"/>
        <v>1</v>
      </c>
      <c r="I41" s="266"/>
      <c r="J41" s="266"/>
      <c r="K41" s="266"/>
      <c r="L41" s="266"/>
      <c r="M41" s="266"/>
      <c r="N41" s="266"/>
      <c r="O41" s="216">
        <f t="shared" si="6"/>
        <v>0</v>
      </c>
      <c r="P41" s="216"/>
      <c r="Q41" s="195"/>
      <c r="R41" s="351" t="s">
        <v>61</v>
      </c>
      <c r="S41" s="271" t="s">
        <v>143</v>
      </c>
      <c r="T41" s="271"/>
      <c r="U41" s="271">
        <v>1</v>
      </c>
      <c r="V41" s="271">
        <v>1</v>
      </c>
      <c r="W41" s="352"/>
      <c r="X41" s="272"/>
      <c r="Y41" s="216">
        <f t="shared" si="7"/>
        <v>0.5</v>
      </c>
      <c r="Z41" s="216"/>
    </row>
    <row r="42" spans="1:26" x14ac:dyDescent="0.3">
      <c r="G42" s="265"/>
      <c r="H42" s="210">
        <f t="shared" si="5"/>
        <v>1</v>
      </c>
      <c r="I42" s="266"/>
      <c r="J42" s="266"/>
      <c r="K42" s="266"/>
      <c r="L42" s="266"/>
      <c r="M42" s="266"/>
      <c r="N42" s="266"/>
      <c r="O42" s="216">
        <f t="shared" si="6"/>
        <v>0</v>
      </c>
      <c r="P42" s="216"/>
      <c r="Q42" s="195"/>
      <c r="R42" s="265" t="s">
        <v>141</v>
      </c>
      <c r="S42" s="259" t="s">
        <v>380</v>
      </c>
      <c r="T42" s="259"/>
      <c r="U42" s="259">
        <v>1</v>
      </c>
      <c r="V42" s="259"/>
      <c r="W42" s="259"/>
      <c r="X42" s="254"/>
      <c r="Y42" s="216">
        <f t="shared" si="7"/>
        <v>0.5</v>
      </c>
      <c r="Z42" s="216"/>
    </row>
    <row r="43" spans="1:26" ht="15" thickBot="1" x14ac:dyDescent="0.35">
      <c r="G43" s="265"/>
      <c r="H43" s="210">
        <f t="shared" si="5"/>
        <v>1</v>
      </c>
      <c r="I43" s="266"/>
      <c r="J43" s="266"/>
      <c r="K43" s="266"/>
      <c r="L43" s="266"/>
      <c r="M43" s="266"/>
      <c r="N43" s="266"/>
      <c r="O43" s="216">
        <f t="shared" si="6"/>
        <v>0</v>
      </c>
      <c r="P43" s="216"/>
      <c r="Q43" s="195"/>
      <c r="R43" s="268" t="s">
        <v>141</v>
      </c>
      <c r="S43" s="269" t="s">
        <v>304</v>
      </c>
      <c r="T43" s="269"/>
      <c r="U43" s="269"/>
      <c r="V43" s="269">
        <v>1</v>
      </c>
      <c r="W43" s="269">
        <v>1</v>
      </c>
      <c r="X43" s="262"/>
      <c r="Y43" s="216">
        <f t="shared" si="7"/>
        <v>0</v>
      </c>
      <c r="Z43" s="216"/>
    </row>
    <row r="44" spans="1:26" x14ac:dyDescent="0.3">
      <c r="G44" s="265"/>
      <c r="H44" s="210">
        <f t="shared" si="5"/>
        <v>0</v>
      </c>
      <c r="I44" s="266"/>
      <c r="J44" s="266"/>
      <c r="K44" s="266"/>
      <c r="L44" s="266"/>
      <c r="M44" s="266"/>
      <c r="N44" s="266"/>
      <c r="O44" s="216">
        <f t="shared" si="6"/>
        <v>0</v>
      </c>
      <c r="P44" s="216"/>
      <c r="Q44" s="195"/>
      <c r="R44" s="265"/>
      <c r="S44" s="266"/>
      <c r="T44" s="266"/>
      <c r="U44" s="266"/>
      <c r="V44" s="266"/>
      <c r="W44" s="266"/>
      <c r="Y44" s="216">
        <f t="shared" si="7"/>
        <v>0</v>
      </c>
      <c r="Z44" s="216"/>
    </row>
    <row r="45" spans="1:26" x14ac:dyDescent="0.3">
      <c r="G45" s="265"/>
      <c r="H45" s="210">
        <f t="shared" si="5"/>
        <v>3</v>
      </c>
      <c r="I45" s="266"/>
      <c r="J45" s="266"/>
      <c r="K45" s="266"/>
      <c r="L45" s="266"/>
      <c r="M45" s="266"/>
      <c r="N45" s="266"/>
      <c r="O45" s="216">
        <f t="shared" si="6"/>
        <v>0</v>
      </c>
      <c r="P45" s="216"/>
      <c r="Q45" s="195"/>
      <c r="R45" s="547" t="s">
        <v>452</v>
      </c>
      <c r="S45" s="266" t="s">
        <v>371</v>
      </c>
      <c r="T45" s="266"/>
      <c r="U45" s="266">
        <v>3</v>
      </c>
      <c r="V45" s="266">
        <v>1</v>
      </c>
      <c r="W45" s="266"/>
      <c r="Y45" s="216">
        <f>(U45+V45)*$Y$3</f>
        <v>2</v>
      </c>
      <c r="Z45" s="216"/>
    </row>
    <row r="46" spans="1:26" x14ac:dyDescent="0.3">
      <c r="G46" s="265"/>
      <c r="H46" s="210">
        <f t="shared" si="5"/>
        <v>0</v>
      </c>
      <c r="I46" s="266"/>
      <c r="J46" s="266"/>
      <c r="K46" s="266"/>
      <c r="L46" s="266"/>
      <c r="M46" s="266"/>
      <c r="N46" s="266"/>
      <c r="O46" s="216">
        <f t="shared" si="6"/>
        <v>0</v>
      </c>
      <c r="P46" s="216"/>
      <c r="Q46" s="195"/>
      <c r="R46" s="265"/>
      <c r="S46" s="266"/>
      <c r="T46" s="266"/>
      <c r="U46" s="266"/>
      <c r="V46" s="266"/>
      <c r="W46" s="266"/>
      <c r="Y46" s="216">
        <f t="shared" si="7"/>
        <v>0</v>
      </c>
      <c r="Z46" s="216"/>
    </row>
    <row r="47" spans="1:26" x14ac:dyDescent="0.3">
      <c r="G47" s="265"/>
      <c r="H47" s="210">
        <f t="shared" si="5"/>
        <v>0</v>
      </c>
      <c r="I47" s="266"/>
      <c r="J47" s="266"/>
      <c r="K47" s="266"/>
      <c r="L47" s="266"/>
      <c r="M47" s="266"/>
      <c r="N47" s="266"/>
      <c r="O47" s="216">
        <f t="shared" si="6"/>
        <v>0</v>
      </c>
      <c r="P47" s="216"/>
      <c r="Q47" s="195"/>
      <c r="R47" s="265"/>
      <c r="S47" s="266"/>
      <c r="T47" s="266"/>
      <c r="U47" s="266"/>
      <c r="V47" s="266"/>
      <c r="W47" s="266"/>
      <c r="Y47" s="216">
        <f t="shared" si="7"/>
        <v>0</v>
      </c>
      <c r="Z47" s="216"/>
    </row>
    <row r="48" spans="1:26" x14ac:dyDescent="0.3">
      <c r="G48" s="265"/>
      <c r="H48" s="210">
        <f t="shared" si="5"/>
        <v>0</v>
      </c>
      <c r="I48" s="266"/>
      <c r="J48" s="266"/>
      <c r="K48" s="266"/>
      <c r="L48" s="266"/>
      <c r="M48" s="266"/>
      <c r="N48" s="266"/>
      <c r="O48" s="216">
        <f t="shared" si="6"/>
        <v>0</v>
      </c>
      <c r="P48" s="216"/>
      <c r="Q48" s="195"/>
      <c r="R48" s="265"/>
      <c r="S48" s="266"/>
      <c r="T48" s="266"/>
      <c r="U48" s="266"/>
      <c r="V48" s="266"/>
      <c r="W48" s="266"/>
      <c r="Y48" s="216">
        <f t="shared" si="7"/>
        <v>0</v>
      </c>
      <c r="Z48" s="216"/>
    </row>
    <row r="49" spans="7:26" x14ac:dyDescent="0.3">
      <c r="G49" s="265"/>
      <c r="H49" s="210">
        <f t="shared" si="5"/>
        <v>0</v>
      </c>
      <c r="I49" s="266"/>
      <c r="J49" s="266"/>
      <c r="K49" s="266"/>
      <c r="L49" s="266"/>
      <c r="M49" s="266"/>
      <c r="N49" s="266"/>
      <c r="O49" s="216">
        <f t="shared" si="6"/>
        <v>0</v>
      </c>
      <c r="P49" s="216"/>
      <c r="Q49" s="195"/>
      <c r="R49" s="265"/>
      <c r="S49" s="266"/>
      <c r="T49" s="266"/>
      <c r="U49" s="266"/>
      <c r="V49" s="266"/>
      <c r="W49" s="266"/>
      <c r="Y49" s="216">
        <f t="shared" si="7"/>
        <v>0</v>
      </c>
      <c r="Z49" s="216"/>
    </row>
    <row r="50" spans="7:26" ht="15" thickBot="1" x14ac:dyDescent="0.35">
      <c r="G50" s="265"/>
      <c r="H50" s="210">
        <f t="shared" si="5"/>
        <v>0</v>
      </c>
      <c r="I50" s="269"/>
      <c r="J50" s="269"/>
      <c r="K50" s="269"/>
      <c r="L50" s="269"/>
      <c r="M50" s="269"/>
      <c r="N50" s="269"/>
      <c r="O50" s="216">
        <f t="shared" si="6"/>
        <v>0</v>
      </c>
      <c r="P50" s="216"/>
      <c r="Q50" s="195"/>
      <c r="R50" s="268"/>
      <c r="S50" s="269"/>
      <c r="T50" s="269"/>
      <c r="U50" s="269"/>
      <c r="V50" s="269"/>
      <c r="W50" s="269"/>
      <c r="X50" s="261"/>
      <c r="Y50" s="216">
        <f t="shared" si="7"/>
        <v>0</v>
      </c>
      <c r="Z50" s="216"/>
    </row>
    <row r="51" spans="7:26" ht="15" thickBot="1" x14ac:dyDescent="0.35">
      <c r="G51" s="183" t="s">
        <v>259</v>
      </c>
      <c r="H51" s="184" t="s">
        <v>69</v>
      </c>
      <c r="I51" s="185" t="s">
        <v>237</v>
      </c>
      <c r="J51" s="154" t="s">
        <v>228</v>
      </c>
      <c r="K51" s="187" t="s">
        <v>204</v>
      </c>
      <c r="L51" s="187" t="s">
        <v>100</v>
      </c>
      <c r="M51" s="187" t="s">
        <v>205</v>
      </c>
      <c r="N51" s="187" t="s">
        <v>206</v>
      </c>
      <c r="O51" s="188" t="s">
        <v>27</v>
      </c>
      <c r="P51" s="188" t="s">
        <v>236</v>
      </c>
      <c r="Q51" s="189"/>
      <c r="R51" s="185" t="s">
        <v>41</v>
      </c>
      <c r="S51" s="185" t="s">
        <v>237</v>
      </c>
      <c r="T51" s="154" t="s">
        <v>228</v>
      </c>
      <c r="U51" s="187" t="s">
        <v>204</v>
      </c>
      <c r="V51" s="187" t="s">
        <v>100</v>
      </c>
      <c r="W51" s="187" t="s">
        <v>205</v>
      </c>
      <c r="X51" s="187" t="s">
        <v>206</v>
      </c>
      <c r="Y51" s="188" t="s">
        <v>27</v>
      </c>
      <c r="Z51" s="188" t="s">
        <v>236</v>
      </c>
    </row>
    <row r="52" spans="7:26" ht="15" thickBot="1" x14ac:dyDescent="0.35">
      <c r="G52" s="264" t="s">
        <v>357</v>
      </c>
      <c r="H52" s="118" t="s">
        <v>239</v>
      </c>
      <c r="I52" s="201" t="s">
        <v>44</v>
      </c>
      <c r="J52" s="137"/>
      <c r="K52" s="137"/>
      <c r="L52" s="137">
        <v>1</v>
      </c>
      <c r="M52" s="137">
        <v>1</v>
      </c>
      <c r="N52" s="153"/>
      <c r="O52" s="156"/>
      <c r="P52" s="156"/>
      <c r="Q52" s="200"/>
      <c r="R52" s="201"/>
      <c r="S52" s="201"/>
      <c r="T52" s="137"/>
      <c r="U52" s="137"/>
      <c r="V52" s="137"/>
      <c r="W52" s="137"/>
      <c r="X52" s="153"/>
      <c r="Y52" s="156"/>
      <c r="Z52" s="156"/>
    </row>
    <row r="53" spans="7:26" ht="15" thickBot="1" x14ac:dyDescent="0.35">
      <c r="G53" s="202" t="s">
        <v>242</v>
      </c>
      <c r="H53" s="239" t="s">
        <v>239</v>
      </c>
      <c r="I53" s="209" t="s">
        <v>343</v>
      </c>
      <c r="J53" s="205"/>
      <c r="K53" s="205"/>
      <c r="L53" s="205">
        <v>2</v>
      </c>
      <c r="M53" s="205">
        <v>2</v>
      </c>
      <c r="N53" s="206"/>
      <c r="O53" s="207"/>
      <c r="P53" s="207"/>
      <c r="Q53" s="208"/>
      <c r="R53" s="209"/>
      <c r="S53" s="209"/>
      <c r="T53" s="205"/>
      <c r="U53" s="205"/>
      <c r="V53" s="205"/>
      <c r="W53" s="205"/>
      <c r="X53" s="206"/>
      <c r="Y53" s="207"/>
      <c r="Z53" s="207"/>
    </row>
    <row r="54" spans="7:26" x14ac:dyDescent="0.3">
      <c r="G54" s="202">
        <f>SUM(H54:H58)</f>
        <v>5</v>
      </c>
      <c r="H54" s="231">
        <f>MAX(K54:N54)+MAX(U54:X54)</f>
        <v>2</v>
      </c>
      <c r="I54" s="241" t="s">
        <v>148</v>
      </c>
      <c r="K54" s="241">
        <v>2</v>
      </c>
      <c r="L54" s="266"/>
      <c r="O54" s="211">
        <f>(J54+K54)*$Y$3</f>
        <v>1</v>
      </c>
      <c r="P54" s="211"/>
      <c r="Q54" s="195"/>
      <c r="R54" s="212"/>
      <c r="S54" s="212"/>
      <c r="T54" s="213"/>
      <c r="U54" s="213"/>
      <c r="V54" s="213"/>
      <c r="W54" s="213"/>
      <c r="X54" s="214"/>
      <c r="Y54" s="211">
        <f>(T54+U54)*$Y$3</f>
        <v>0</v>
      </c>
      <c r="Z54" s="211"/>
    </row>
    <row r="55" spans="7:26" x14ac:dyDescent="0.3">
      <c r="G55" s="265"/>
      <c r="H55" s="210">
        <f t="shared" ref="H55:H67" si="8">MAX(K55:N55)+MAX(U55:X55)</f>
        <v>2</v>
      </c>
      <c r="I55" s="266" t="s">
        <v>456</v>
      </c>
      <c r="J55" s="266"/>
      <c r="K55" s="266">
        <v>2</v>
      </c>
      <c r="L55" s="266"/>
      <c r="M55" s="266"/>
      <c r="N55" s="266"/>
      <c r="O55" s="216">
        <f>(J55+K55)*$Y$3</f>
        <v>1</v>
      </c>
      <c r="P55" s="216"/>
      <c r="Q55" s="195"/>
      <c r="R55" s="57"/>
      <c r="S55" s="57"/>
      <c r="T55" s="266"/>
      <c r="U55" s="266"/>
      <c r="V55" s="266"/>
      <c r="W55" s="266"/>
      <c r="Y55" s="216">
        <f t="shared" ref="Y55:Y67" si="9">(T55+U55)*$Y$3</f>
        <v>0</v>
      </c>
      <c r="Z55" s="216"/>
    </row>
    <row r="56" spans="7:26" x14ac:dyDescent="0.3">
      <c r="G56" s="452" t="s">
        <v>391</v>
      </c>
      <c r="H56" s="210">
        <f t="shared" si="8"/>
        <v>1</v>
      </c>
      <c r="I56" s="259" t="s">
        <v>553</v>
      </c>
      <c r="J56" s="266"/>
      <c r="K56" s="266">
        <v>1</v>
      </c>
      <c r="L56" s="266"/>
      <c r="M56" s="266"/>
      <c r="N56" s="266"/>
      <c r="O56" s="216">
        <f>(J56+K56)*$Y$3</f>
        <v>0.5</v>
      </c>
      <c r="P56" s="216"/>
      <c r="Q56" s="195"/>
      <c r="R56" s="57"/>
      <c r="S56" s="57"/>
      <c r="T56" s="266"/>
      <c r="U56" s="266"/>
      <c r="V56" s="266"/>
      <c r="W56" s="266"/>
      <c r="Y56" s="216">
        <f t="shared" si="9"/>
        <v>0</v>
      </c>
      <c r="Z56" s="216"/>
    </row>
    <row r="57" spans="7:26" x14ac:dyDescent="0.3">
      <c r="G57" s="265"/>
      <c r="H57" s="210">
        <f t="shared" si="8"/>
        <v>0</v>
      </c>
      <c r="I57" s="259"/>
      <c r="J57" s="266"/>
      <c r="K57" s="266"/>
      <c r="L57" s="266"/>
      <c r="M57" s="266"/>
      <c r="N57" s="266"/>
      <c r="O57" s="216">
        <f>(J57+K57)*$Y$3</f>
        <v>0</v>
      </c>
      <c r="P57" s="216"/>
      <c r="Q57" s="195"/>
      <c r="R57" s="57"/>
      <c r="S57" s="57"/>
      <c r="T57" s="266"/>
      <c r="U57" s="266"/>
      <c r="V57" s="266"/>
      <c r="W57" s="266"/>
      <c r="Y57" s="216">
        <f t="shared" si="9"/>
        <v>0</v>
      </c>
      <c r="Z57" s="216"/>
    </row>
    <row r="58" spans="7:26" ht="15" thickBot="1" x14ac:dyDescent="0.35">
      <c r="G58" s="265"/>
      <c r="H58" s="225">
        <f t="shared" si="8"/>
        <v>0</v>
      </c>
      <c r="I58" s="269"/>
      <c r="J58" s="269"/>
      <c r="K58" s="269"/>
      <c r="L58" s="269"/>
      <c r="M58" s="269"/>
      <c r="N58" s="269"/>
      <c r="O58" s="216">
        <f>(J58+K58)*$Y$3</f>
        <v>0</v>
      </c>
      <c r="P58" s="216"/>
      <c r="Q58" s="226"/>
      <c r="R58" s="81"/>
      <c r="S58" s="81"/>
      <c r="T58" s="269"/>
      <c r="U58" s="269"/>
      <c r="V58" s="269"/>
      <c r="W58" s="269"/>
      <c r="X58" s="261"/>
      <c r="Y58" s="216">
        <f t="shared" si="9"/>
        <v>0</v>
      </c>
      <c r="Z58" s="216"/>
    </row>
    <row r="59" spans="7:26" ht="15" thickBot="1" x14ac:dyDescent="0.35">
      <c r="G59" s="250" t="s">
        <v>248</v>
      </c>
      <c r="H59" s="184" t="s">
        <v>69</v>
      </c>
      <c r="I59" s="185" t="s">
        <v>237</v>
      </c>
      <c r="J59" s="186" t="s">
        <v>228</v>
      </c>
      <c r="K59" s="187" t="s">
        <v>204</v>
      </c>
      <c r="L59" s="187" t="s">
        <v>100</v>
      </c>
      <c r="M59" s="187" t="s">
        <v>205</v>
      </c>
      <c r="N59" s="187" t="s">
        <v>206</v>
      </c>
      <c r="O59" s="188" t="s">
        <v>27</v>
      </c>
      <c r="P59" s="188" t="s">
        <v>236</v>
      </c>
      <c r="Q59" s="189"/>
      <c r="R59" s="185" t="s">
        <v>41</v>
      </c>
      <c r="S59" s="230" t="s">
        <v>237</v>
      </c>
      <c r="T59" s="186" t="s">
        <v>228</v>
      </c>
      <c r="U59" s="187" t="s">
        <v>204</v>
      </c>
      <c r="V59" s="187" t="s">
        <v>100</v>
      </c>
      <c r="W59" s="187" t="s">
        <v>205</v>
      </c>
      <c r="X59" s="187" t="s">
        <v>206</v>
      </c>
      <c r="Y59" s="188" t="s">
        <v>27</v>
      </c>
      <c r="Z59" s="188" t="s">
        <v>236</v>
      </c>
    </row>
    <row r="60" spans="7:26" x14ac:dyDescent="0.3">
      <c r="G60" s="270" t="s">
        <v>350</v>
      </c>
      <c r="H60" s="231">
        <f t="shared" si="8"/>
        <v>2</v>
      </c>
      <c r="I60" s="29" t="s">
        <v>341</v>
      </c>
      <c r="K60" s="241">
        <v>2</v>
      </c>
      <c r="L60" s="241">
        <v>1</v>
      </c>
      <c r="M60" s="241">
        <v>1</v>
      </c>
      <c r="O60" s="211">
        <f t="shared" ref="O60:O67" si="10">(J60+K60)*$Y$3</f>
        <v>1</v>
      </c>
      <c r="P60" s="211"/>
      <c r="Q60" s="195"/>
      <c r="R60" s="70"/>
      <c r="Y60" s="211">
        <f t="shared" si="9"/>
        <v>0</v>
      </c>
      <c r="Z60" s="211"/>
    </row>
    <row r="61" spans="7:26" ht="15" thickBot="1" x14ac:dyDescent="0.35">
      <c r="G61" s="273" t="s">
        <v>173</v>
      </c>
      <c r="H61" s="225">
        <f t="shared" si="8"/>
        <v>1</v>
      </c>
      <c r="I61" s="81" t="s">
        <v>207</v>
      </c>
      <c r="J61" s="269"/>
      <c r="K61" s="269">
        <v>1</v>
      </c>
      <c r="L61" s="269"/>
      <c r="M61" s="269"/>
      <c r="N61" s="269"/>
      <c r="O61" s="232">
        <f t="shared" si="10"/>
        <v>0.5</v>
      </c>
      <c r="P61" s="232"/>
      <c r="Q61" s="226"/>
      <c r="R61" s="260"/>
      <c r="S61" s="261"/>
      <c r="T61" s="261"/>
      <c r="U61" s="261"/>
      <c r="V61" s="261"/>
      <c r="W61" s="261"/>
      <c r="X61" s="261"/>
      <c r="Y61" s="232">
        <f t="shared" si="9"/>
        <v>0</v>
      </c>
      <c r="Z61" s="232"/>
    </row>
    <row r="62" spans="7:26" x14ac:dyDescent="0.3">
      <c r="G62" s="451" t="s">
        <v>389</v>
      </c>
      <c r="H62" s="231">
        <f t="shared" si="8"/>
        <v>2</v>
      </c>
      <c r="I62" s="29" t="s">
        <v>341</v>
      </c>
      <c r="K62" s="241">
        <v>2</v>
      </c>
      <c r="L62" s="241">
        <v>1</v>
      </c>
      <c r="M62" s="241">
        <v>1</v>
      </c>
      <c r="O62" s="438"/>
      <c r="P62" s="438"/>
      <c r="Q62" s="195"/>
      <c r="R62" s="70"/>
      <c r="S62" s="253"/>
      <c r="T62" s="253"/>
      <c r="U62" s="253"/>
      <c r="V62" s="253"/>
      <c r="W62" s="253"/>
      <c r="X62" s="253"/>
      <c r="Y62" s="438"/>
      <c r="Z62" s="438"/>
    </row>
    <row r="63" spans="7:26" ht="15" thickBot="1" x14ac:dyDescent="0.35">
      <c r="G63" s="273" t="s">
        <v>173</v>
      </c>
      <c r="H63" s="225">
        <f t="shared" si="8"/>
        <v>1</v>
      </c>
      <c r="I63" s="57" t="s">
        <v>375</v>
      </c>
      <c r="J63" s="259"/>
      <c r="K63" s="259">
        <v>1</v>
      </c>
      <c r="L63" s="259"/>
      <c r="M63" s="259"/>
      <c r="N63" s="259"/>
      <c r="O63" s="438"/>
      <c r="P63" s="438"/>
      <c r="Q63" s="195"/>
      <c r="R63" s="260"/>
      <c r="S63" s="253"/>
      <c r="T63" s="253"/>
      <c r="U63" s="253"/>
      <c r="V63" s="253"/>
      <c r="W63" s="253"/>
      <c r="X63" s="253"/>
      <c r="Y63" s="438"/>
      <c r="Z63" s="438"/>
    </row>
    <row r="64" spans="7:26" x14ac:dyDescent="0.3">
      <c r="G64" s="270" t="s">
        <v>349</v>
      </c>
      <c r="H64" s="231">
        <f t="shared" ref="H64:H65" si="11">MAX(K64:N64)+MAX(U64:X64)</f>
        <v>2</v>
      </c>
      <c r="I64" s="93" t="s">
        <v>341</v>
      </c>
      <c r="J64" s="271"/>
      <c r="K64" s="271">
        <v>2</v>
      </c>
      <c r="L64" s="271">
        <v>1</v>
      </c>
      <c r="M64" s="271">
        <v>1</v>
      </c>
      <c r="N64" s="271"/>
      <c r="O64" s="233">
        <f t="shared" ref="O64:O65" si="12">(J64+K64)*$Y$3</f>
        <v>1</v>
      </c>
      <c r="P64" s="233"/>
      <c r="Q64" s="200"/>
      <c r="R64" s="28"/>
      <c r="S64" s="28"/>
      <c r="T64" s="274"/>
      <c r="U64" s="274"/>
      <c r="V64" s="274"/>
      <c r="W64" s="274"/>
      <c r="X64" s="274"/>
      <c r="Y64" s="233">
        <f t="shared" ref="Y64:Y65" si="13">(T64+U64)*$Y$3</f>
        <v>0</v>
      </c>
      <c r="Z64" s="233"/>
    </row>
    <row r="65" spans="7:26" ht="15" thickBot="1" x14ac:dyDescent="0.35">
      <c r="G65" s="275" t="s">
        <v>173</v>
      </c>
      <c r="H65" s="225">
        <f t="shared" si="11"/>
        <v>1</v>
      </c>
      <c r="I65" s="30" t="s">
        <v>342</v>
      </c>
      <c r="J65" s="261"/>
      <c r="K65" s="261">
        <v>1</v>
      </c>
      <c r="L65" s="261"/>
      <c r="M65" s="261"/>
      <c r="N65" s="261"/>
      <c r="O65" s="232">
        <f t="shared" si="12"/>
        <v>0.5</v>
      </c>
      <c r="P65" s="232"/>
      <c r="Q65" s="226"/>
      <c r="R65" s="30"/>
      <c r="S65" s="30"/>
      <c r="T65" s="261"/>
      <c r="U65" s="261"/>
      <c r="V65" s="261"/>
      <c r="W65" s="261"/>
      <c r="X65" s="261"/>
      <c r="Y65" s="232">
        <f t="shared" si="13"/>
        <v>0</v>
      </c>
      <c r="Z65" s="232"/>
    </row>
    <row r="66" spans="7:26" x14ac:dyDescent="0.3">
      <c r="G66" s="270" t="s">
        <v>550</v>
      </c>
      <c r="H66" s="231">
        <f t="shared" si="8"/>
        <v>2</v>
      </c>
      <c r="I66" s="93" t="s">
        <v>341</v>
      </c>
      <c r="J66" s="271"/>
      <c r="K66" s="271">
        <v>2</v>
      </c>
      <c r="L66" s="271">
        <v>1</v>
      </c>
      <c r="M66" s="271">
        <v>1</v>
      </c>
      <c r="N66" s="271"/>
      <c r="O66" s="233">
        <f t="shared" si="10"/>
        <v>1</v>
      </c>
      <c r="P66" s="233"/>
      <c r="Q66" s="200"/>
      <c r="R66" s="28"/>
      <c r="S66" s="28"/>
      <c r="T66" s="274"/>
      <c r="U66" s="274"/>
      <c r="V66" s="274"/>
      <c r="W66" s="274"/>
      <c r="X66" s="274"/>
      <c r="Y66" s="233">
        <f t="shared" si="9"/>
        <v>0</v>
      </c>
      <c r="Z66" s="233"/>
    </row>
    <row r="67" spans="7:26" ht="15" thickBot="1" x14ac:dyDescent="0.35">
      <c r="G67" s="275" t="s">
        <v>173</v>
      </c>
      <c r="H67" s="225">
        <f t="shared" si="8"/>
        <v>0</v>
      </c>
      <c r="I67" s="30"/>
      <c r="J67" s="261"/>
      <c r="K67" s="261"/>
      <c r="L67" s="261"/>
      <c r="M67" s="261"/>
      <c r="N67" s="261"/>
      <c r="O67" s="232">
        <f t="shared" si="10"/>
        <v>0</v>
      </c>
      <c r="P67" s="232"/>
      <c r="Q67" s="226"/>
      <c r="R67" s="30"/>
      <c r="S67" s="30"/>
      <c r="T67" s="261"/>
      <c r="U67" s="261"/>
      <c r="V67" s="261"/>
      <c r="W67" s="261"/>
      <c r="X67" s="261"/>
      <c r="Y67" s="232">
        <f t="shared" si="9"/>
        <v>0</v>
      </c>
      <c r="Z67" s="232"/>
    </row>
    <row r="68" spans="7:26" ht="15" thickBot="1" x14ac:dyDescent="0.35"/>
    <row r="69" spans="7:26" ht="15" thickBot="1" x14ac:dyDescent="0.35">
      <c r="G69" s="250" t="s">
        <v>137</v>
      </c>
      <c r="H69" s="503" t="s">
        <v>69</v>
      </c>
      <c r="I69" s="185" t="s">
        <v>237</v>
      </c>
      <c r="J69" s="186" t="s">
        <v>228</v>
      </c>
      <c r="K69" s="187" t="s">
        <v>204</v>
      </c>
      <c r="L69" s="187" t="s">
        <v>100</v>
      </c>
      <c r="M69" s="187" t="s">
        <v>205</v>
      </c>
      <c r="N69" s="187" t="s">
        <v>206</v>
      </c>
      <c r="O69" s="188" t="s">
        <v>27</v>
      </c>
      <c r="P69" s="188" t="s">
        <v>236</v>
      </c>
      <c r="Q69" s="189"/>
      <c r="R69" s="185" t="s">
        <v>41</v>
      </c>
      <c r="S69" s="185" t="s">
        <v>237</v>
      </c>
      <c r="T69" s="186" t="s">
        <v>228</v>
      </c>
      <c r="U69" s="187" t="s">
        <v>204</v>
      </c>
      <c r="V69" s="187" t="s">
        <v>100</v>
      </c>
      <c r="W69" s="187" t="s">
        <v>205</v>
      </c>
      <c r="X69" s="187" t="s">
        <v>206</v>
      </c>
      <c r="Y69" s="188" t="s">
        <v>27</v>
      </c>
      <c r="Z69" s="188" t="s">
        <v>236</v>
      </c>
    </row>
    <row r="70" spans="7:26" ht="15" thickBot="1" x14ac:dyDescent="0.35">
      <c r="G70" s="588" t="s">
        <v>118</v>
      </c>
      <c r="H70" s="231">
        <f>MAX(K70:N70)+MAX(U70:X70)</f>
        <v>4</v>
      </c>
      <c r="I70" s="266" t="s">
        <v>145</v>
      </c>
      <c r="J70" s="266"/>
      <c r="K70" s="266"/>
      <c r="L70" s="266"/>
      <c r="M70" s="266"/>
      <c r="N70" s="266">
        <v>2</v>
      </c>
      <c r="O70" s="216">
        <f t="shared" ref="O70:O81" si="14">(J70+K70)*$Y$3</f>
        <v>0</v>
      </c>
      <c r="P70" s="216"/>
      <c r="Q70" s="195"/>
      <c r="R70" s="70" t="s">
        <v>125</v>
      </c>
      <c r="S70" s="241" t="s">
        <v>540</v>
      </c>
      <c r="T70" s="241">
        <v>1</v>
      </c>
      <c r="V70" s="241">
        <v>2</v>
      </c>
      <c r="W70" s="241">
        <v>2</v>
      </c>
      <c r="Y70" s="216">
        <f>(T70+U70)*$Y$3</f>
        <v>0.5</v>
      </c>
      <c r="Z70" s="216"/>
    </row>
    <row r="71" spans="7:26" x14ac:dyDescent="0.3">
      <c r="G71" s="425"/>
      <c r="H71" s="210">
        <f t="shared" ref="H71:H79" si="15">MAX(K71:N71)+MAX(U71:X71)</f>
        <v>0</v>
      </c>
      <c r="I71" s="266"/>
      <c r="J71" s="266"/>
      <c r="K71" s="266"/>
      <c r="L71" s="266"/>
      <c r="M71" s="266"/>
      <c r="N71" s="266"/>
      <c r="O71" s="216">
        <f t="shared" si="14"/>
        <v>0</v>
      </c>
      <c r="P71" s="216"/>
      <c r="Q71" s="195"/>
      <c r="R71" s="544" t="s">
        <v>211</v>
      </c>
      <c r="S71" s="349" t="s">
        <v>504</v>
      </c>
      <c r="T71" s="348">
        <v>2</v>
      </c>
      <c r="U71" s="348">
        <v>0</v>
      </c>
      <c r="V71" s="545"/>
      <c r="W71" s="545"/>
      <c r="X71" s="467"/>
      <c r="Y71" s="216">
        <f>(T71+U71)*$Y$3</f>
        <v>1</v>
      </c>
      <c r="Z71" s="216"/>
    </row>
    <row r="72" spans="7:26" x14ac:dyDescent="0.3">
      <c r="G72" s="117" t="s">
        <v>242</v>
      </c>
      <c r="H72" s="210">
        <f t="shared" si="15"/>
        <v>2</v>
      </c>
      <c r="I72" s="266" t="s">
        <v>172</v>
      </c>
      <c r="J72" s="266"/>
      <c r="K72" s="266"/>
      <c r="L72" s="266"/>
      <c r="M72" s="266"/>
      <c r="N72" s="266">
        <v>1</v>
      </c>
      <c r="O72" s="216">
        <f t="shared" si="14"/>
        <v>0</v>
      </c>
      <c r="P72" s="216"/>
      <c r="Q72" s="195"/>
      <c r="R72" s="43"/>
      <c r="S72" s="65" t="s">
        <v>43</v>
      </c>
      <c r="T72" s="66"/>
      <c r="U72" s="66">
        <v>1</v>
      </c>
      <c r="V72" s="546"/>
      <c r="W72" s="546"/>
      <c r="X72" s="48"/>
      <c r="Y72" s="216">
        <f>(T72+U72)*$Y$3</f>
        <v>0.5</v>
      </c>
      <c r="Z72" s="216"/>
    </row>
    <row r="73" spans="7:26" x14ac:dyDescent="0.3">
      <c r="G73" s="117">
        <f>SUM(H70:H79)</f>
        <v>11</v>
      </c>
      <c r="H73" s="210">
        <f t="shared" si="15"/>
        <v>1</v>
      </c>
      <c r="I73" s="266"/>
      <c r="J73" s="266"/>
      <c r="K73" s="266"/>
      <c r="L73" s="266"/>
      <c r="M73" s="266"/>
      <c r="N73" s="266"/>
      <c r="O73" s="216">
        <f t="shared" si="14"/>
        <v>0</v>
      </c>
      <c r="P73" s="216"/>
      <c r="Q73" s="195"/>
      <c r="R73" s="43"/>
      <c r="S73" s="305" t="s">
        <v>503</v>
      </c>
      <c r="T73" s="49"/>
      <c r="U73" s="49">
        <v>1</v>
      </c>
      <c r="V73" s="49"/>
      <c r="W73" s="49"/>
      <c r="X73" s="48"/>
      <c r="Y73" s="216">
        <f>SUM(T73:U73)*$Y$3</f>
        <v>0.5</v>
      </c>
      <c r="Z73" s="216"/>
    </row>
    <row r="74" spans="7:26" x14ac:dyDescent="0.3">
      <c r="G74" s="29"/>
      <c r="H74" s="210">
        <f t="shared" si="15"/>
        <v>1</v>
      </c>
      <c r="I74" s="266"/>
      <c r="J74" s="266"/>
      <c r="K74" s="266"/>
      <c r="L74" s="266"/>
      <c r="M74" s="266"/>
      <c r="N74" s="266"/>
      <c r="O74" s="216">
        <f t="shared" si="14"/>
        <v>0</v>
      </c>
      <c r="P74" s="216"/>
      <c r="Q74" s="195"/>
      <c r="R74" s="43"/>
      <c r="S74" s="305" t="s">
        <v>91</v>
      </c>
      <c r="T74" s="49"/>
      <c r="U74" s="49">
        <v>1</v>
      </c>
      <c r="V74" s="49"/>
      <c r="W74" s="49"/>
      <c r="X74" s="48"/>
      <c r="Y74" s="216">
        <f>SUM(T74:U74)*$Y$3</f>
        <v>0.5</v>
      </c>
      <c r="Z74" s="216"/>
    </row>
    <row r="75" spans="7:26" x14ac:dyDescent="0.3">
      <c r="G75" s="29"/>
      <c r="H75" s="210">
        <f t="shared" si="15"/>
        <v>1</v>
      </c>
      <c r="I75" s="266"/>
      <c r="J75" s="266"/>
      <c r="K75" s="266"/>
      <c r="L75" s="266"/>
      <c r="M75" s="266"/>
      <c r="N75" s="266"/>
      <c r="O75" s="216">
        <f t="shared" si="14"/>
        <v>0</v>
      </c>
      <c r="P75" s="234"/>
      <c r="Q75" s="195"/>
      <c r="R75" s="43"/>
      <c r="S75" s="305" t="s">
        <v>42</v>
      </c>
      <c r="T75" s="49"/>
      <c r="U75" s="49">
        <v>1</v>
      </c>
      <c r="V75" s="49"/>
      <c r="W75" s="49">
        <v>1</v>
      </c>
      <c r="X75" s="48"/>
      <c r="Y75" s="216">
        <f t="shared" ref="Y75:Y78" si="16">SUM(T75:U75)*$Y$3</f>
        <v>0.5</v>
      </c>
      <c r="Z75" s="234"/>
    </row>
    <row r="76" spans="7:26" x14ac:dyDescent="0.3">
      <c r="G76" s="29"/>
      <c r="H76" s="210">
        <f t="shared" si="15"/>
        <v>0</v>
      </c>
      <c r="I76" s="266"/>
      <c r="J76" s="266"/>
      <c r="K76" s="266"/>
      <c r="L76" s="266"/>
      <c r="M76" s="266"/>
      <c r="N76" s="266"/>
      <c r="O76" s="216">
        <f t="shared" si="14"/>
        <v>0</v>
      </c>
      <c r="P76" s="234"/>
      <c r="Q76" s="195"/>
      <c r="R76" s="43"/>
      <c r="S76" s="305" t="s">
        <v>436</v>
      </c>
      <c r="T76" s="49">
        <v>3</v>
      </c>
      <c r="U76" s="49"/>
      <c r="V76" s="49"/>
      <c r="W76" s="49"/>
      <c r="X76" s="48"/>
      <c r="Y76" s="216">
        <f t="shared" si="16"/>
        <v>1.5</v>
      </c>
      <c r="Z76" s="234"/>
    </row>
    <row r="77" spans="7:26" ht="15" thickBot="1" x14ac:dyDescent="0.35">
      <c r="G77" s="29"/>
      <c r="H77" s="210">
        <f t="shared" si="15"/>
        <v>0</v>
      </c>
      <c r="I77" s="266"/>
      <c r="J77" s="266"/>
      <c r="K77" s="266"/>
      <c r="L77" s="266"/>
      <c r="M77" s="266"/>
      <c r="N77" s="266"/>
      <c r="O77" s="216">
        <f t="shared" si="14"/>
        <v>0</v>
      </c>
      <c r="P77" s="234"/>
      <c r="Q77" s="195"/>
      <c r="R77" s="44"/>
      <c r="S77" s="512" t="s">
        <v>437</v>
      </c>
      <c r="T77" s="33">
        <v>2</v>
      </c>
      <c r="U77" s="33"/>
      <c r="V77" s="33"/>
      <c r="W77" s="33"/>
      <c r="X77" s="470"/>
      <c r="Y77" s="216">
        <f t="shared" si="16"/>
        <v>1</v>
      </c>
      <c r="Z77" s="234"/>
    </row>
    <row r="78" spans="7:26" x14ac:dyDescent="0.3">
      <c r="G78" s="29"/>
      <c r="H78" s="210">
        <f t="shared" si="15"/>
        <v>2</v>
      </c>
      <c r="I78" s="266"/>
      <c r="J78" s="266"/>
      <c r="K78" s="266"/>
      <c r="L78" s="266"/>
      <c r="M78" s="266"/>
      <c r="N78" s="266"/>
      <c r="O78" s="216">
        <f t="shared" si="14"/>
        <v>0</v>
      </c>
      <c r="P78" s="234"/>
      <c r="Q78" s="195"/>
      <c r="R78" s="70" t="s">
        <v>452</v>
      </c>
      <c r="S78" s="241" t="s">
        <v>520</v>
      </c>
      <c r="U78" s="241">
        <v>2</v>
      </c>
      <c r="Y78" s="216">
        <f t="shared" si="16"/>
        <v>1</v>
      </c>
      <c r="Z78" s="234"/>
    </row>
    <row r="79" spans="7:26" ht="15" thickBot="1" x14ac:dyDescent="0.35">
      <c r="G79" s="29"/>
      <c r="H79" s="225">
        <f t="shared" si="15"/>
        <v>0</v>
      </c>
      <c r="I79" s="266"/>
      <c r="J79" s="266"/>
      <c r="K79" s="266"/>
      <c r="L79" s="266"/>
      <c r="M79" s="266"/>
      <c r="N79" s="266"/>
      <c r="O79" s="234">
        <f t="shared" si="14"/>
        <v>0</v>
      </c>
      <c r="P79" s="234"/>
      <c r="Q79" s="195"/>
      <c r="R79" s="260"/>
      <c r="Y79" s="234">
        <f>SUM(T79:U79)*$Y$3</f>
        <v>0</v>
      </c>
      <c r="Z79" s="234"/>
    </row>
    <row r="80" spans="7:26" x14ac:dyDescent="0.3">
      <c r="G80" s="270" t="s">
        <v>551</v>
      </c>
      <c r="H80" s="210">
        <f>MAX(K80:N80)+MAX(U80:X80)</f>
        <v>2</v>
      </c>
      <c r="I80" s="93" t="s">
        <v>341</v>
      </c>
      <c r="J80" s="271"/>
      <c r="K80" s="271">
        <v>2</v>
      </c>
      <c r="L80" s="271">
        <v>1</v>
      </c>
      <c r="M80" s="271">
        <v>1</v>
      </c>
      <c r="N80" s="271"/>
      <c r="O80" s="233">
        <f t="shared" si="14"/>
        <v>1</v>
      </c>
      <c r="P80" s="233"/>
      <c r="Q80" s="200"/>
      <c r="R80" s="274"/>
      <c r="S80" s="274"/>
      <c r="T80" s="274"/>
      <c r="U80" s="274"/>
      <c r="V80" s="274"/>
      <c r="W80" s="274"/>
      <c r="X80" s="274"/>
      <c r="Y80" s="233">
        <f>(T80+U80)*$Y$3</f>
        <v>0</v>
      </c>
      <c r="Z80" s="233"/>
    </row>
    <row r="81" spans="7:26" ht="15" thickBot="1" x14ac:dyDescent="0.35">
      <c r="G81" s="275" t="s">
        <v>173</v>
      </c>
      <c r="H81" s="225">
        <f>MAX(K81:N81)+MAX(U81:X81)</f>
        <v>0</v>
      </c>
      <c r="I81" s="30"/>
      <c r="J81" s="261"/>
      <c r="K81" s="261"/>
      <c r="L81" s="261"/>
      <c r="M81" s="261"/>
      <c r="N81" s="261"/>
      <c r="O81" s="232">
        <f t="shared" si="14"/>
        <v>0</v>
      </c>
      <c r="P81" s="232"/>
      <c r="Q81" s="226"/>
      <c r="R81" s="261"/>
      <c r="S81" s="261"/>
      <c r="T81" s="261"/>
      <c r="U81" s="261"/>
      <c r="V81" s="261"/>
      <c r="W81" s="261"/>
      <c r="X81" s="261"/>
      <c r="Y81" s="232">
        <f>(T81+U81)*$Y$3</f>
        <v>0</v>
      </c>
      <c r="Z81" s="232"/>
    </row>
    <row r="82" spans="7:26" ht="15" thickBot="1" x14ac:dyDescent="0.35"/>
    <row r="83" spans="7:26" ht="15" thickBot="1" x14ac:dyDescent="0.35">
      <c r="G83" s="250" t="s">
        <v>108</v>
      </c>
      <c r="H83" s="184" t="s">
        <v>69</v>
      </c>
      <c r="I83" s="185" t="s">
        <v>237</v>
      </c>
      <c r="J83" s="186" t="s">
        <v>228</v>
      </c>
      <c r="K83" s="187" t="s">
        <v>204</v>
      </c>
      <c r="L83" s="187" t="s">
        <v>100</v>
      </c>
      <c r="M83" s="187" t="s">
        <v>205</v>
      </c>
      <c r="N83" s="187" t="s">
        <v>206</v>
      </c>
      <c r="O83" s="188" t="s">
        <v>27</v>
      </c>
      <c r="P83" s="188" t="s">
        <v>236</v>
      </c>
      <c r="Q83" s="189"/>
      <c r="R83" s="185" t="s">
        <v>41</v>
      </c>
      <c r="S83" s="185" t="s">
        <v>237</v>
      </c>
      <c r="T83" s="186" t="s">
        <v>228</v>
      </c>
      <c r="U83" s="187" t="s">
        <v>204</v>
      </c>
      <c r="V83" s="187" t="s">
        <v>100</v>
      </c>
      <c r="W83" s="187" t="s">
        <v>205</v>
      </c>
      <c r="X83" s="187" t="s">
        <v>206</v>
      </c>
      <c r="Y83" s="188" t="s">
        <v>27</v>
      </c>
      <c r="Z83" s="188" t="s">
        <v>236</v>
      </c>
    </row>
    <row r="84" spans="7:26" ht="15" thickBot="1" x14ac:dyDescent="0.35">
      <c r="G84" s="264" t="s">
        <v>112</v>
      </c>
      <c r="H84" s="231">
        <f>MAX(K84:N84)+MAX(U84:X84)</f>
        <v>3</v>
      </c>
      <c r="I84" s="266" t="s">
        <v>145</v>
      </c>
      <c r="J84" s="266"/>
      <c r="K84" s="266"/>
      <c r="L84" s="266"/>
      <c r="M84" s="266"/>
      <c r="N84" s="266">
        <v>2</v>
      </c>
      <c r="O84" s="216">
        <f t="shared" ref="O84:O90" si="17">(J84+K84)*$Y$3</f>
        <v>0</v>
      </c>
      <c r="P84" s="216"/>
      <c r="Q84" s="195"/>
      <c r="R84" s="265" t="s">
        <v>125</v>
      </c>
      <c r="S84" s="266" t="s">
        <v>188</v>
      </c>
      <c r="T84" s="266"/>
      <c r="U84" s="266"/>
      <c r="V84" s="266">
        <v>1</v>
      </c>
      <c r="W84" s="266">
        <v>1</v>
      </c>
      <c r="Y84" s="216">
        <f>(T84+U84)*$Y$3</f>
        <v>0</v>
      </c>
      <c r="Z84" s="216"/>
    </row>
    <row r="85" spans="7:26" x14ac:dyDescent="0.3">
      <c r="G85" s="202" t="s">
        <v>250</v>
      </c>
      <c r="H85" s="210">
        <f>MAX(K85:N85)+MAX(U85:X85)</f>
        <v>0</v>
      </c>
      <c r="I85" s="266"/>
      <c r="J85" s="266"/>
      <c r="K85" s="266"/>
      <c r="L85" s="266"/>
      <c r="M85" s="266"/>
      <c r="N85" s="266"/>
      <c r="O85" s="216">
        <f t="shared" si="17"/>
        <v>0</v>
      </c>
      <c r="P85" s="216"/>
      <c r="Q85" s="195"/>
      <c r="R85" s="238"/>
      <c r="S85" s="256"/>
      <c r="T85" s="256"/>
      <c r="U85" s="256"/>
      <c r="V85" s="256"/>
      <c r="W85" s="256"/>
      <c r="Y85" s="216">
        <f>(T85+U85)*$Y$3</f>
        <v>0</v>
      </c>
      <c r="Z85" s="216"/>
    </row>
    <row r="86" spans="7:26" x14ac:dyDescent="0.3">
      <c r="G86" s="202">
        <f>SUM(H84:H88)</f>
        <v>3</v>
      </c>
      <c r="H86" s="210">
        <f>MAX(K86:N86)+MAX(U86:X86)</f>
        <v>0</v>
      </c>
      <c r="I86" s="266"/>
      <c r="J86" s="266"/>
      <c r="K86" s="266"/>
      <c r="L86" s="266"/>
      <c r="M86" s="266"/>
      <c r="N86" s="266"/>
      <c r="O86" s="216">
        <f t="shared" si="17"/>
        <v>0</v>
      </c>
      <c r="P86" s="216"/>
      <c r="Q86" s="195"/>
      <c r="R86" s="255"/>
      <c r="Y86" s="216">
        <f>SUM(T86:U86)*$Y$3</f>
        <v>0</v>
      </c>
      <c r="Z86" s="216"/>
    </row>
    <row r="87" spans="7:26" x14ac:dyDescent="0.3">
      <c r="G87" s="255"/>
      <c r="H87" s="210">
        <f>MAX(K86:N86)+MAX(U86:X86)</f>
        <v>0</v>
      </c>
      <c r="I87" s="266"/>
      <c r="J87" s="266"/>
      <c r="K87" s="266"/>
      <c r="L87" s="266"/>
      <c r="M87" s="266"/>
      <c r="N87" s="266"/>
      <c r="O87" s="216">
        <f t="shared" si="17"/>
        <v>0</v>
      </c>
      <c r="P87" s="216"/>
      <c r="Q87" s="195"/>
      <c r="R87" s="255"/>
      <c r="Y87" s="216">
        <f>SUM(T87:U87)*$Y$3</f>
        <v>0</v>
      </c>
      <c r="Z87" s="216"/>
    </row>
    <row r="88" spans="7:26" ht="15" thickBot="1" x14ac:dyDescent="0.35">
      <c r="G88" s="255"/>
      <c r="H88" s="210">
        <f>MAX(K87:N87)+MAX(U87:X87)</f>
        <v>0</v>
      </c>
      <c r="I88" s="266"/>
      <c r="J88" s="266"/>
      <c r="K88" s="266"/>
      <c r="L88" s="266"/>
      <c r="M88" s="266"/>
      <c r="N88" s="266"/>
      <c r="O88" s="234">
        <f t="shared" si="17"/>
        <v>0</v>
      </c>
      <c r="P88" s="234"/>
      <c r="Q88" s="195"/>
      <c r="R88" s="260"/>
      <c r="Y88" s="234">
        <f>SUM(T88:U88)*$Y$3</f>
        <v>0</v>
      </c>
      <c r="Z88" s="234"/>
    </row>
    <row r="89" spans="7:26" x14ac:dyDescent="0.3">
      <c r="G89" s="270" t="s">
        <v>251</v>
      </c>
      <c r="H89" s="231">
        <f>MAX(K89:N89)+MAX(U89:X89)</f>
        <v>0</v>
      </c>
      <c r="I89" s="93"/>
      <c r="J89" s="271"/>
      <c r="K89" s="271"/>
      <c r="L89" s="271"/>
      <c r="M89" s="271"/>
      <c r="N89" s="271"/>
      <c r="O89" s="233">
        <f t="shared" si="17"/>
        <v>0</v>
      </c>
      <c r="P89" s="233"/>
      <c r="Q89" s="200"/>
      <c r="R89" s="274"/>
      <c r="S89" s="274"/>
      <c r="T89" s="274"/>
      <c r="U89" s="274"/>
      <c r="V89" s="274"/>
      <c r="W89" s="274"/>
      <c r="X89" s="274"/>
      <c r="Y89" s="233">
        <f>(T89+U89)*$Y$3</f>
        <v>0</v>
      </c>
      <c r="Z89" s="233"/>
    </row>
    <row r="90" spans="7:26" ht="15" thickBot="1" x14ac:dyDescent="0.35">
      <c r="G90" s="275" t="s">
        <v>173</v>
      </c>
      <c r="H90" s="225">
        <f>MAX(K90:N90)+MAX(U90:X90)</f>
        <v>0</v>
      </c>
      <c r="I90" s="30"/>
      <c r="J90" s="261"/>
      <c r="K90" s="261"/>
      <c r="L90" s="261"/>
      <c r="M90" s="261"/>
      <c r="N90" s="261"/>
      <c r="O90" s="232">
        <f t="shared" si="17"/>
        <v>0</v>
      </c>
      <c r="P90" s="232"/>
      <c r="Q90" s="226"/>
      <c r="R90" s="261"/>
      <c r="S90" s="261"/>
      <c r="T90" s="261"/>
      <c r="U90" s="261"/>
      <c r="V90" s="261"/>
      <c r="W90" s="261"/>
      <c r="X90" s="261"/>
      <c r="Y90" s="232">
        <f>(T90+U90)*$Y$3</f>
        <v>0</v>
      </c>
      <c r="Z90" s="232"/>
    </row>
  </sheetData>
  <mergeCells count="1">
    <mergeCell ref="T4:U4"/>
  </mergeCells>
  <conditionalFormatting sqref="D40">
    <cfRule type="cellIs" dxfId="44" priority="4" operator="equal">
      <formula>0</formula>
    </cfRule>
    <cfRule type="cellIs" dxfId="43" priority="5" operator="lessThan">
      <formula>0</formula>
    </cfRule>
    <cfRule type="cellIs" dxfId="42" priority="6" operator="greaterThan">
      <formula>0</formula>
    </cfRule>
  </conditionalFormatting>
  <conditionalFormatting sqref="D2">
    <cfRule type="cellIs" dxfId="41" priority="1" operator="lessThan">
      <formula>0</formula>
    </cfRule>
    <cfRule type="cellIs" dxfId="40" priority="2" operator="equal">
      <formula>0</formula>
    </cfRule>
    <cfRule type="cellIs" dxfId="39" priority="3" operator="greater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FFCC"/>
  </sheetPr>
  <dimension ref="A1:AB104"/>
  <sheetViews>
    <sheetView topLeftCell="A14" zoomScale="65" zoomScaleNormal="65" zoomScaleSheetLayoutView="98" workbookViewId="0">
      <selection activeCell="I13" sqref="I13"/>
    </sheetView>
  </sheetViews>
  <sheetFormatPr defaultColWidth="9.109375" defaultRowHeight="14.4" x14ac:dyDescent="0.3"/>
  <cols>
    <col min="1" max="1" width="9.109375" style="241"/>
    <col min="2" max="2" width="11.6640625" style="241" customWidth="1"/>
    <col min="3" max="3" width="19.33203125" style="241" customWidth="1"/>
    <col min="4" max="4" width="9.109375" style="241"/>
    <col min="5" max="6" width="4.109375" style="241" customWidth="1"/>
    <col min="7" max="7" width="19" style="241" customWidth="1"/>
    <col min="8" max="8" width="5.5546875" style="52" customWidth="1"/>
    <col min="9" max="9" width="27.5546875" style="241" customWidth="1"/>
    <col min="10" max="10" width="5.88671875" style="241" customWidth="1"/>
    <col min="11" max="11" width="6.44140625" style="241" customWidth="1"/>
    <col min="12" max="12" width="6.5546875" style="241" customWidth="1"/>
    <col min="13" max="13" width="6.44140625" style="241" customWidth="1"/>
    <col min="14" max="14" width="6.109375" style="241" customWidth="1"/>
    <col min="15" max="15" width="9.109375" style="241"/>
    <col min="16" max="16" width="6.33203125" style="241" customWidth="1"/>
    <col min="17" max="17" width="3.44140625" style="241" customWidth="1"/>
    <col min="18" max="18" width="20.6640625" style="241" customWidth="1"/>
    <col min="19" max="19" width="25.88671875" style="241" customWidth="1"/>
    <col min="20" max="24" width="6" style="241" customWidth="1"/>
    <col min="25" max="25" width="9.109375" style="241"/>
    <col min="26" max="26" width="6.5546875" style="241" customWidth="1"/>
    <col min="27" max="16384" width="9.109375" style="241"/>
  </cols>
  <sheetData>
    <row r="1" spans="1:28" ht="15" thickBot="1" x14ac:dyDescent="0.35"/>
    <row r="2" spans="1:28" x14ac:dyDescent="0.3">
      <c r="C2" s="242" t="s">
        <v>28</v>
      </c>
      <c r="D2" s="242">
        <f>D40+D3+D4</f>
        <v>34.599999999999994</v>
      </c>
      <c r="I2" s="243" t="s">
        <v>33</v>
      </c>
      <c r="J2" s="244">
        <f t="shared" ref="J2:P2" si="0">J6+T6</f>
        <v>16</v>
      </c>
      <c r="K2" s="244">
        <f t="shared" si="0"/>
        <v>38</v>
      </c>
      <c r="L2" s="244">
        <f t="shared" si="0"/>
        <v>36</v>
      </c>
      <c r="M2" s="244">
        <f t="shared" si="0"/>
        <v>38</v>
      </c>
      <c r="N2" s="244">
        <f t="shared" si="0"/>
        <v>10</v>
      </c>
      <c r="O2" s="244">
        <f t="shared" si="0"/>
        <v>27</v>
      </c>
      <c r="P2" s="244">
        <f t="shared" si="0"/>
        <v>2</v>
      </c>
      <c r="W2" s="168" t="s">
        <v>229</v>
      </c>
      <c r="X2" s="169"/>
      <c r="Y2" s="170">
        <v>0.2</v>
      </c>
      <c r="Z2" s="171"/>
    </row>
    <row r="3" spans="1:28" ht="15" thickBot="1" x14ac:dyDescent="0.35">
      <c r="C3" s="245" t="s">
        <v>560</v>
      </c>
      <c r="D3" s="585">
        <f>'[1]House Aeris'!$I$3</f>
        <v>8</v>
      </c>
      <c r="W3" s="172" t="s">
        <v>227</v>
      </c>
      <c r="X3" s="173"/>
      <c r="Y3" s="174">
        <v>0.5</v>
      </c>
      <c r="AB3" s="241">
        <f>2700/50</f>
        <v>54</v>
      </c>
    </row>
    <row r="4" spans="1:28" ht="15" thickBot="1" x14ac:dyDescent="0.35">
      <c r="C4" s="245" t="s">
        <v>155</v>
      </c>
      <c r="D4" s="245">
        <v>0.3</v>
      </c>
      <c r="I4" s="246" t="s">
        <v>15</v>
      </c>
      <c r="J4" s="246"/>
      <c r="K4" s="246"/>
      <c r="Q4" s="99"/>
      <c r="R4" s="247" t="s">
        <v>11</v>
      </c>
      <c r="S4" s="247"/>
      <c r="T4" s="587" t="s">
        <v>10</v>
      </c>
      <c r="U4" s="587"/>
    </row>
    <row r="5" spans="1:28" ht="15.6" thickTop="1" thickBot="1" x14ac:dyDescent="0.35">
      <c r="G5" s="175" t="s">
        <v>235</v>
      </c>
      <c r="H5" s="176">
        <f>SUM(H8:H80)</f>
        <v>58</v>
      </c>
      <c r="I5" s="246" t="s">
        <v>8</v>
      </c>
      <c r="J5" s="177" t="s">
        <v>228</v>
      </c>
      <c r="K5" s="248" t="s">
        <v>204</v>
      </c>
      <c r="L5" s="248" t="s">
        <v>100</v>
      </c>
      <c r="M5" s="248" t="s">
        <v>205</v>
      </c>
      <c r="N5" s="248" t="s">
        <v>206</v>
      </c>
      <c r="O5" s="248" t="s">
        <v>27</v>
      </c>
      <c r="P5" s="248" t="s">
        <v>236</v>
      </c>
      <c r="Q5" s="99"/>
      <c r="R5" s="247" t="s">
        <v>8</v>
      </c>
      <c r="S5" s="247"/>
      <c r="T5" s="178" t="s">
        <v>228</v>
      </c>
      <c r="U5" s="249" t="s">
        <v>204</v>
      </c>
      <c r="V5" s="249" t="s">
        <v>100</v>
      </c>
      <c r="W5" s="249" t="s">
        <v>205</v>
      </c>
      <c r="X5" s="249" t="s">
        <v>206</v>
      </c>
      <c r="Y5" s="249" t="s">
        <v>27</v>
      </c>
      <c r="Z5" s="248" t="s">
        <v>236</v>
      </c>
    </row>
    <row r="6" spans="1:28" ht="15" thickBot="1" x14ac:dyDescent="0.35">
      <c r="A6" s="179"/>
      <c r="B6" s="274" t="s">
        <v>0</v>
      </c>
      <c r="C6" s="274" t="s">
        <v>4</v>
      </c>
      <c r="D6" s="272" t="s">
        <v>5</v>
      </c>
      <c r="F6" s="241">
        <f>SUM(F9:F49)</f>
        <v>11.5</v>
      </c>
      <c r="G6" s="180" t="s">
        <v>213</v>
      </c>
      <c r="H6" s="181">
        <f>H5*50</f>
        <v>2900</v>
      </c>
      <c r="J6" s="244">
        <f t="shared" ref="J6:P6" si="1">SUM(J10:J145)</f>
        <v>10</v>
      </c>
      <c r="K6" s="244">
        <f t="shared" si="1"/>
        <v>21</v>
      </c>
      <c r="L6" s="244">
        <f t="shared" si="1"/>
        <v>22</v>
      </c>
      <c r="M6" s="244">
        <f t="shared" si="1"/>
        <v>24</v>
      </c>
      <c r="N6" s="244">
        <f t="shared" si="1"/>
        <v>8</v>
      </c>
      <c r="O6" s="244">
        <f t="shared" si="1"/>
        <v>15.5</v>
      </c>
      <c r="P6" s="244">
        <f t="shared" si="1"/>
        <v>2</v>
      </c>
      <c r="Q6" s="99"/>
      <c r="T6" s="244">
        <f t="shared" ref="T6:Y6" si="2">SUM(T14:T145)</f>
        <v>6</v>
      </c>
      <c r="U6" s="244">
        <f t="shared" si="2"/>
        <v>17</v>
      </c>
      <c r="V6" s="244">
        <f t="shared" si="2"/>
        <v>14</v>
      </c>
      <c r="W6" s="244">
        <f t="shared" si="2"/>
        <v>14</v>
      </c>
      <c r="X6" s="244">
        <f t="shared" si="2"/>
        <v>2</v>
      </c>
      <c r="Y6" s="244">
        <f t="shared" si="2"/>
        <v>11.5</v>
      </c>
      <c r="Z6" s="244">
        <f>SUM(Z14:Z92)</f>
        <v>0</v>
      </c>
    </row>
    <row r="7" spans="1:28" ht="15.6" thickTop="1" thickBot="1" x14ac:dyDescent="0.35">
      <c r="A7" s="182">
        <f>D2-A10</f>
        <v>32.599999999999994</v>
      </c>
      <c r="B7" s="241" t="s">
        <v>1</v>
      </c>
      <c r="C7" s="241" t="s">
        <v>479</v>
      </c>
      <c r="D7" s="254">
        <v>17</v>
      </c>
      <c r="F7" s="241" t="s">
        <v>310</v>
      </c>
      <c r="Q7" s="99"/>
    </row>
    <row r="8" spans="1:28" ht="15" thickBot="1" x14ac:dyDescent="0.35">
      <c r="A8" s="29"/>
      <c r="B8" s="241" t="s">
        <v>29</v>
      </c>
      <c r="C8" s="241" t="s">
        <v>175</v>
      </c>
      <c r="D8" s="254">
        <v>14</v>
      </c>
      <c r="G8" s="183" t="s">
        <v>183</v>
      </c>
      <c r="H8" s="184" t="s">
        <v>69</v>
      </c>
      <c r="I8" s="185" t="s">
        <v>237</v>
      </c>
      <c r="J8" s="186" t="s">
        <v>228</v>
      </c>
      <c r="K8" s="187" t="s">
        <v>204</v>
      </c>
      <c r="L8" s="187" t="s">
        <v>100</v>
      </c>
      <c r="M8" s="187" t="s">
        <v>205</v>
      </c>
      <c r="N8" s="187" t="s">
        <v>206</v>
      </c>
      <c r="O8" s="188" t="s">
        <v>27</v>
      </c>
      <c r="P8" s="188" t="s">
        <v>236</v>
      </c>
      <c r="Q8" s="189"/>
      <c r="R8" s="185" t="s">
        <v>41</v>
      </c>
      <c r="S8" s="185" t="s">
        <v>237</v>
      </c>
      <c r="T8" s="186" t="s">
        <v>228</v>
      </c>
      <c r="U8" s="187" t="s">
        <v>204</v>
      </c>
      <c r="V8" s="187" t="s">
        <v>100</v>
      </c>
      <c r="W8" s="187" t="s">
        <v>205</v>
      </c>
      <c r="X8" s="187" t="s">
        <v>206</v>
      </c>
      <c r="Y8" s="188" t="s">
        <v>27</v>
      </c>
      <c r="Z8" s="188" t="s">
        <v>236</v>
      </c>
    </row>
    <row r="9" spans="1:28" ht="15" thickBot="1" x14ac:dyDescent="0.35">
      <c r="A9" s="29"/>
      <c r="B9" s="241" t="s">
        <v>30</v>
      </c>
      <c r="C9" s="241" t="s">
        <v>176</v>
      </c>
      <c r="D9" s="254">
        <v>12</v>
      </c>
      <c r="G9" s="264" t="s">
        <v>238</v>
      </c>
      <c r="H9" s="190" t="s">
        <v>239</v>
      </c>
      <c r="I9" s="454"/>
      <c r="J9" s="458"/>
      <c r="K9" s="458"/>
      <c r="L9" s="458"/>
      <c r="M9" s="458"/>
      <c r="N9" s="459"/>
      <c r="O9" s="194"/>
      <c r="P9" s="194"/>
      <c r="Q9" s="195"/>
      <c r="R9" s="191"/>
      <c r="S9" s="191"/>
      <c r="T9" s="192"/>
      <c r="U9" s="192"/>
      <c r="V9" s="192"/>
      <c r="W9" s="192"/>
      <c r="X9" s="193"/>
      <c r="Y9" s="194"/>
      <c r="Z9" s="194"/>
    </row>
    <row r="10" spans="1:28" x14ac:dyDescent="0.3">
      <c r="A10" s="29">
        <v>2</v>
      </c>
      <c r="B10" s="241" t="s">
        <v>2</v>
      </c>
      <c r="C10" s="241" t="s">
        <v>177</v>
      </c>
      <c r="D10" s="254">
        <v>0</v>
      </c>
      <c r="G10" s="255" t="s">
        <v>240</v>
      </c>
      <c r="H10" s="196" t="s">
        <v>239</v>
      </c>
      <c r="I10" s="454" t="s">
        <v>399</v>
      </c>
      <c r="J10" s="458"/>
      <c r="K10" s="458"/>
      <c r="L10" s="458">
        <v>2</v>
      </c>
      <c r="M10" s="458">
        <v>2</v>
      </c>
      <c r="N10" s="459">
        <v>4</v>
      </c>
      <c r="O10" s="198"/>
      <c r="P10" s="198"/>
      <c r="Q10" s="195"/>
      <c r="R10" s="197"/>
      <c r="S10" s="197"/>
      <c r="T10" s="26"/>
      <c r="U10" s="26"/>
      <c r="V10" s="26"/>
      <c r="W10" s="26"/>
      <c r="X10" s="39"/>
      <c r="Y10" s="198"/>
      <c r="Z10" s="198"/>
    </row>
    <row r="11" spans="1:28" x14ac:dyDescent="0.3">
      <c r="A11" s="29"/>
      <c r="B11" s="241" t="s">
        <v>83</v>
      </c>
      <c r="C11" s="241" t="s">
        <v>178</v>
      </c>
      <c r="D11" s="254">
        <v>0</v>
      </c>
      <c r="G11" s="255" t="s">
        <v>218</v>
      </c>
      <c r="H11" s="196" t="s">
        <v>239</v>
      </c>
      <c r="I11" s="197"/>
      <c r="J11" s="26"/>
      <c r="K11" s="26"/>
      <c r="L11" s="26"/>
      <c r="M11" s="26"/>
      <c r="N11" s="39"/>
      <c r="O11" s="198"/>
      <c r="P11" s="198"/>
      <c r="Q11" s="195"/>
      <c r="R11" s="197"/>
      <c r="S11" s="197"/>
      <c r="T11" s="26"/>
      <c r="U11" s="26"/>
      <c r="V11" s="26"/>
      <c r="W11" s="26"/>
      <c r="X11" s="39"/>
      <c r="Y11" s="198"/>
      <c r="Z11" s="198"/>
    </row>
    <row r="12" spans="1:28" ht="15" thickBot="1" x14ac:dyDescent="0.35">
      <c r="A12" s="29"/>
      <c r="B12" s="241" t="s">
        <v>179</v>
      </c>
      <c r="C12" s="241" t="s">
        <v>180</v>
      </c>
      <c r="D12" s="254"/>
      <c r="G12" s="255">
        <f>SUM(H9:H66)*50</f>
        <v>2700</v>
      </c>
      <c r="H12" s="196" t="s">
        <v>239</v>
      </c>
      <c r="I12" s="197">
        <f>G12/50</f>
        <v>54</v>
      </c>
      <c r="J12" s="26"/>
      <c r="K12" s="26"/>
      <c r="L12" s="26"/>
      <c r="M12" s="26"/>
      <c r="N12" s="39"/>
      <c r="O12" s="198"/>
      <c r="P12" s="198"/>
      <c r="Q12" s="195"/>
      <c r="R12" s="197"/>
      <c r="S12" s="197"/>
      <c r="T12" s="26"/>
      <c r="U12" s="26"/>
      <c r="V12" s="26"/>
      <c r="W12" s="26"/>
      <c r="X12" s="39"/>
      <c r="Y12" s="198"/>
      <c r="Z12" s="198"/>
    </row>
    <row r="13" spans="1:28" ht="15" thickBot="1" x14ac:dyDescent="0.35">
      <c r="A13" s="29"/>
      <c r="B13" s="257" t="s">
        <v>165</v>
      </c>
      <c r="D13" s="254"/>
      <c r="G13" s="250" t="s">
        <v>309</v>
      </c>
      <c r="H13" s="184" t="s">
        <v>69</v>
      </c>
      <c r="I13" s="185" t="s">
        <v>237</v>
      </c>
      <c r="J13" s="186" t="s">
        <v>228</v>
      </c>
      <c r="K13" s="187" t="s">
        <v>204</v>
      </c>
      <c r="L13" s="187" t="s">
        <v>100</v>
      </c>
      <c r="M13" s="187" t="s">
        <v>205</v>
      </c>
      <c r="N13" s="187" t="s">
        <v>206</v>
      </c>
      <c r="O13" s="188" t="s">
        <v>27</v>
      </c>
      <c r="P13" s="188" t="s">
        <v>236</v>
      </c>
      <c r="Q13" s="189"/>
      <c r="R13" s="185" t="s">
        <v>41</v>
      </c>
      <c r="S13" s="185" t="s">
        <v>237</v>
      </c>
      <c r="T13" s="186" t="s">
        <v>228</v>
      </c>
      <c r="U13" s="187" t="s">
        <v>204</v>
      </c>
      <c r="V13" s="187" t="s">
        <v>100</v>
      </c>
      <c r="W13" s="187" t="s">
        <v>205</v>
      </c>
      <c r="X13" s="187" t="s">
        <v>206</v>
      </c>
      <c r="Y13" s="188" t="s">
        <v>27</v>
      </c>
      <c r="Z13" s="188" t="s">
        <v>236</v>
      </c>
    </row>
    <row r="14" spans="1:28" ht="15" thickBot="1" x14ac:dyDescent="0.35">
      <c r="A14" s="29"/>
      <c r="C14" s="258" t="s">
        <v>7</v>
      </c>
      <c r="D14" s="199">
        <f>SUM(D7:D13)</f>
        <v>43</v>
      </c>
      <c r="G14" s="252" t="s">
        <v>161</v>
      </c>
      <c r="H14" s="121" t="s">
        <v>239</v>
      </c>
      <c r="I14" s="155"/>
      <c r="J14" s="137"/>
      <c r="K14" s="137"/>
      <c r="L14" s="137"/>
      <c r="M14" s="137"/>
      <c r="N14" s="153"/>
      <c r="O14" s="156"/>
      <c r="P14" s="156"/>
      <c r="Q14" s="200"/>
      <c r="R14" s="156"/>
      <c r="S14" s="155"/>
      <c r="T14" s="137"/>
      <c r="U14" s="137"/>
      <c r="V14" s="137"/>
      <c r="W14" s="137"/>
      <c r="X14" s="153"/>
      <c r="Y14" s="156"/>
      <c r="Z14" s="156"/>
    </row>
    <row r="15" spans="1:28" ht="15.6" thickTop="1" thickBot="1" x14ac:dyDescent="0.35">
      <c r="A15" s="30"/>
      <c r="B15" s="261"/>
      <c r="C15" s="261"/>
      <c r="D15" s="262"/>
      <c r="G15" s="202" t="s">
        <v>242</v>
      </c>
      <c r="H15" s="203" t="s">
        <v>239</v>
      </c>
      <c r="I15" s="204"/>
      <c r="J15" s="205"/>
      <c r="K15" s="205"/>
      <c r="L15" s="205"/>
      <c r="M15" s="205"/>
      <c r="N15" s="206"/>
      <c r="O15" s="207"/>
      <c r="P15" s="207"/>
      <c r="Q15" s="208"/>
      <c r="R15" s="207"/>
      <c r="S15" s="204"/>
      <c r="T15" s="205"/>
      <c r="U15" s="205"/>
      <c r="V15" s="205"/>
      <c r="W15" s="205"/>
      <c r="X15" s="206"/>
      <c r="Y15" s="207"/>
      <c r="Z15" s="207"/>
    </row>
    <row r="16" spans="1:28" ht="15" thickBot="1" x14ac:dyDescent="0.35">
      <c r="G16" s="202">
        <f>SUM(H16:H25)</f>
        <v>16</v>
      </c>
      <c r="H16" s="210">
        <f t="shared" ref="H16:H25" si="3">MAX(K16:N16)+MAX(U16:X16)</f>
        <v>3</v>
      </c>
      <c r="I16" s="253" t="s">
        <v>208</v>
      </c>
      <c r="N16" s="241">
        <v>2</v>
      </c>
      <c r="O16" s="211">
        <f t="shared" ref="O16:O25" si="4">(J16+K16)*$Y$3</f>
        <v>0</v>
      </c>
      <c r="P16" s="211"/>
      <c r="Q16" s="195"/>
      <c r="R16" s="255" t="s">
        <v>267</v>
      </c>
      <c r="S16" s="241" t="s">
        <v>253</v>
      </c>
      <c r="U16" s="241">
        <v>1</v>
      </c>
      <c r="X16" s="214"/>
      <c r="Y16" s="211">
        <f>(T16+U16)*$Y$3</f>
        <v>0.5</v>
      </c>
      <c r="Z16" s="211"/>
    </row>
    <row r="17" spans="1:26" x14ac:dyDescent="0.3">
      <c r="A17" s="28" t="s">
        <v>19</v>
      </c>
      <c r="B17" s="274"/>
      <c r="C17" s="274" t="s">
        <v>13</v>
      </c>
      <c r="D17" s="215">
        <f>O6</f>
        <v>15.5</v>
      </c>
      <c r="G17" s="255"/>
      <c r="H17" s="210">
        <f t="shared" si="3"/>
        <v>3</v>
      </c>
      <c r="I17" s="259" t="s">
        <v>181</v>
      </c>
      <c r="J17" s="266"/>
      <c r="K17" s="266"/>
      <c r="L17" s="266"/>
      <c r="M17" s="266">
        <v>1</v>
      </c>
      <c r="N17" s="266">
        <v>1</v>
      </c>
      <c r="O17" s="216">
        <f t="shared" si="4"/>
        <v>0</v>
      </c>
      <c r="P17" s="216"/>
      <c r="Q17" s="195"/>
      <c r="R17" s="70" t="s">
        <v>254</v>
      </c>
      <c r="S17" s="241" t="s">
        <v>506</v>
      </c>
      <c r="T17" s="256">
        <v>3</v>
      </c>
      <c r="V17" s="241">
        <v>2</v>
      </c>
      <c r="W17" s="256">
        <v>2</v>
      </c>
      <c r="Y17" s="216">
        <f t="shared" ref="Y17:Y25" si="5">(T17+U17)*$Y$3</f>
        <v>1.5</v>
      </c>
      <c r="Z17" s="216"/>
    </row>
    <row r="18" spans="1:26" ht="15" thickBot="1" x14ac:dyDescent="0.35">
      <c r="A18" s="29"/>
      <c r="C18" s="258" t="s">
        <v>14</v>
      </c>
      <c r="D18" s="217">
        <f>(((J2+K2)-SUM(J97:J101))*$Y$2)</f>
        <v>10.8</v>
      </c>
      <c r="G18" s="255"/>
      <c r="H18" s="210">
        <f t="shared" si="3"/>
        <v>3</v>
      </c>
      <c r="I18" s="259" t="s">
        <v>184</v>
      </c>
      <c r="J18" s="266"/>
      <c r="K18" s="266">
        <v>2</v>
      </c>
      <c r="L18" s="266">
        <v>1</v>
      </c>
      <c r="M18" s="266"/>
      <c r="N18" s="266"/>
      <c r="O18" s="216">
        <f t="shared" si="4"/>
        <v>1</v>
      </c>
      <c r="P18" s="216"/>
      <c r="Q18" s="195"/>
      <c r="R18" s="255" t="s">
        <v>256</v>
      </c>
      <c r="S18" s="241" t="s">
        <v>257</v>
      </c>
      <c r="V18" s="241">
        <v>1</v>
      </c>
      <c r="W18" s="241">
        <v>1</v>
      </c>
      <c r="Y18" s="216">
        <f t="shared" si="5"/>
        <v>0</v>
      </c>
      <c r="Z18" s="216"/>
    </row>
    <row r="19" spans="1:26" ht="15.6" thickTop="1" thickBot="1" x14ac:dyDescent="0.35">
      <c r="A19" s="30"/>
      <c r="B19" s="261"/>
      <c r="C19" s="218" t="s">
        <v>7</v>
      </c>
      <c r="D19" s="219">
        <f>SUM(D17:D18)</f>
        <v>26.3</v>
      </c>
      <c r="G19" s="255"/>
      <c r="H19" s="210">
        <f t="shared" si="3"/>
        <v>1</v>
      </c>
      <c r="I19" s="305" t="s">
        <v>76</v>
      </c>
      <c r="J19" s="243"/>
      <c r="K19" s="243">
        <v>1</v>
      </c>
      <c r="L19" s="243"/>
      <c r="M19" s="243">
        <v>1</v>
      </c>
      <c r="N19" s="243"/>
      <c r="O19" s="216">
        <f t="shared" si="4"/>
        <v>0.5</v>
      </c>
      <c r="P19" s="216"/>
      <c r="Q19" s="195"/>
      <c r="R19" s="265"/>
      <c r="S19" s="266"/>
      <c r="T19" s="266"/>
      <c r="U19" s="266"/>
      <c r="V19" s="266"/>
      <c r="W19" s="266"/>
      <c r="Y19" s="216">
        <f t="shared" si="5"/>
        <v>0</v>
      </c>
      <c r="Z19" s="216"/>
    </row>
    <row r="20" spans="1:26" ht="15" thickBot="1" x14ac:dyDescent="0.35">
      <c r="G20" s="255"/>
      <c r="H20" s="210">
        <f t="shared" si="3"/>
        <v>1</v>
      </c>
      <c r="I20" s="259" t="s">
        <v>316</v>
      </c>
      <c r="J20" s="266"/>
      <c r="K20" s="266"/>
      <c r="L20" s="266">
        <v>1</v>
      </c>
      <c r="M20" s="266"/>
      <c r="N20" s="266"/>
      <c r="O20" s="216">
        <f t="shared" si="4"/>
        <v>0</v>
      </c>
      <c r="P20" s="216"/>
      <c r="Q20" s="195"/>
      <c r="R20" s="265"/>
      <c r="S20" s="266"/>
      <c r="T20" s="266"/>
      <c r="U20" s="266"/>
      <c r="V20" s="266"/>
      <c r="W20" s="266"/>
      <c r="Y20" s="216">
        <f t="shared" si="5"/>
        <v>0</v>
      </c>
      <c r="Z20" s="216"/>
    </row>
    <row r="21" spans="1:26" x14ac:dyDescent="0.3">
      <c r="A21" s="220" t="s">
        <v>243</v>
      </c>
      <c r="B21" s="274"/>
      <c r="C21" s="274"/>
      <c r="D21" s="272"/>
      <c r="G21" s="255"/>
      <c r="H21" s="210">
        <f t="shared" si="3"/>
        <v>1</v>
      </c>
      <c r="I21" s="253" t="s">
        <v>317</v>
      </c>
      <c r="J21" s="266"/>
      <c r="K21" s="266"/>
      <c r="L21" s="266"/>
      <c r="M21" s="266">
        <v>1</v>
      </c>
      <c r="N21" s="266"/>
      <c r="O21" s="216">
        <f t="shared" si="4"/>
        <v>0</v>
      </c>
      <c r="P21" s="216"/>
      <c r="Q21" s="195"/>
      <c r="R21" s="265"/>
      <c r="S21" s="266"/>
      <c r="T21" s="266"/>
      <c r="U21" s="266"/>
      <c r="V21" s="266"/>
      <c r="W21" s="266"/>
      <c r="Y21" s="216">
        <f t="shared" si="5"/>
        <v>0</v>
      </c>
      <c r="Z21" s="216"/>
    </row>
    <row r="22" spans="1:26" x14ac:dyDescent="0.3">
      <c r="A22" s="221"/>
      <c r="B22" s="157" t="s">
        <v>232</v>
      </c>
      <c r="C22" s="157"/>
      <c r="D22" s="158"/>
      <c r="F22" s="241">
        <v>0.5</v>
      </c>
      <c r="G22" s="255"/>
      <c r="H22" s="210">
        <f t="shared" si="3"/>
        <v>1</v>
      </c>
      <c r="I22" s="259" t="s">
        <v>132</v>
      </c>
      <c r="J22" s="266"/>
      <c r="K22" s="266"/>
      <c r="L22" s="266"/>
      <c r="M22" s="266">
        <v>1</v>
      </c>
      <c r="N22" s="266"/>
      <c r="O22" s="216">
        <f t="shared" si="4"/>
        <v>0</v>
      </c>
      <c r="P22" s="216"/>
      <c r="Q22" s="195"/>
      <c r="R22" s="265"/>
      <c r="S22" s="266"/>
      <c r="T22" s="266"/>
      <c r="U22" s="266"/>
      <c r="V22" s="266"/>
      <c r="W22" s="266"/>
      <c r="Y22" s="216">
        <f t="shared" si="5"/>
        <v>0</v>
      </c>
      <c r="Z22" s="216"/>
    </row>
    <row r="23" spans="1:26" x14ac:dyDescent="0.3">
      <c r="A23" s="29"/>
      <c r="B23" s="159"/>
      <c r="C23" s="24" t="s">
        <v>20</v>
      </c>
      <c r="D23" s="25">
        <f>B23*0.5</f>
        <v>0</v>
      </c>
      <c r="G23" s="255"/>
      <c r="H23" s="210">
        <f t="shared" si="3"/>
        <v>1</v>
      </c>
      <c r="I23" s="416" t="s">
        <v>106</v>
      </c>
      <c r="J23" s="256"/>
      <c r="K23" s="256"/>
      <c r="L23" s="256">
        <v>1</v>
      </c>
      <c r="M23" s="256">
        <v>1</v>
      </c>
      <c r="N23" s="256"/>
      <c r="O23" s="216">
        <f t="shared" si="4"/>
        <v>0</v>
      </c>
      <c r="P23" s="216"/>
      <c r="Q23" s="195"/>
      <c r="R23" s="265"/>
      <c r="S23" s="266"/>
      <c r="T23" s="266"/>
      <c r="U23" s="266"/>
      <c r="V23" s="266"/>
      <c r="W23" s="266"/>
      <c r="Y23" s="216">
        <f t="shared" si="5"/>
        <v>0</v>
      </c>
      <c r="Z23" s="216"/>
    </row>
    <row r="24" spans="1:26" x14ac:dyDescent="0.3">
      <c r="A24" s="29"/>
      <c r="B24" s="159">
        <v>1</v>
      </c>
      <c r="C24" s="24" t="s">
        <v>21</v>
      </c>
      <c r="D24" s="25">
        <f>B24</f>
        <v>1</v>
      </c>
      <c r="F24" s="241">
        <v>1</v>
      </c>
      <c r="G24" s="255"/>
      <c r="H24" s="210">
        <f t="shared" si="3"/>
        <v>2</v>
      </c>
      <c r="I24" s="256" t="s">
        <v>72</v>
      </c>
      <c r="J24" s="256"/>
      <c r="K24" s="256"/>
      <c r="L24" s="256">
        <v>1</v>
      </c>
      <c r="M24" s="256">
        <v>2</v>
      </c>
      <c r="N24" s="256"/>
      <c r="O24" s="216">
        <f>(J22+K22)*$Y$3</f>
        <v>0</v>
      </c>
      <c r="P24" s="216"/>
      <c r="Q24" s="195"/>
      <c r="R24" s="237"/>
      <c r="S24" s="240"/>
      <c r="T24" s="223"/>
      <c r="U24" s="223"/>
      <c r="V24" s="223"/>
      <c r="W24" s="223"/>
      <c r="Y24" s="216">
        <f t="shared" si="5"/>
        <v>0</v>
      </c>
      <c r="Z24" s="216"/>
    </row>
    <row r="25" spans="1:26" ht="15" thickBot="1" x14ac:dyDescent="0.35">
      <c r="A25" s="29"/>
      <c r="B25" s="159">
        <v>1</v>
      </c>
      <c r="C25" s="24" t="s">
        <v>22</v>
      </c>
      <c r="D25" s="25">
        <f>B25</f>
        <v>1</v>
      </c>
      <c r="G25" s="260"/>
      <c r="H25" s="225">
        <f t="shared" si="3"/>
        <v>0</v>
      </c>
      <c r="I25" s="269"/>
      <c r="J25" s="269"/>
      <c r="K25" s="269"/>
      <c r="L25" s="269"/>
      <c r="M25" s="269"/>
      <c r="N25" s="269"/>
      <c r="O25" s="216">
        <f t="shared" si="4"/>
        <v>0</v>
      </c>
      <c r="P25" s="216"/>
      <c r="Q25" s="226"/>
      <c r="R25" s="268"/>
      <c r="S25" s="269"/>
      <c r="T25" s="269"/>
      <c r="U25" s="269"/>
      <c r="V25" s="269"/>
      <c r="W25" s="269"/>
      <c r="X25" s="261"/>
      <c r="Y25" s="216">
        <f t="shared" si="5"/>
        <v>0</v>
      </c>
      <c r="Z25" s="216"/>
    </row>
    <row r="26" spans="1:26" ht="15" thickBot="1" x14ac:dyDescent="0.35">
      <c r="A26" s="29"/>
      <c r="B26" s="159">
        <v>4</v>
      </c>
      <c r="C26" s="24" t="s">
        <v>23</v>
      </c>
      <c r="D26" s="25">
        <f>B26</f>
        <v>4</v>
      </c>
      <c r="G26" s="183" t="s">
        <v>311</v>
      </c>
      <c r="H26" s="184" t="s">
        <v>69</v>
      </c>
      <c r="I26" s="185" t="s">
        <v>237</v>
      </c>
      <c r="J26" s="186" t="s">
        <v>228</v>
      </c>
      <c r="K26" s="187" t="s">
        <v>204</v>
      </c>
      <c r="L26" s="187" t="s">
        <v>100</v>
      </c>
      <c r="M26" s="187" t="s">
        <v>205</v>
      </c>
      <c r="N26" s="187" t="s">
        <v>206</v>
      </c>
      <c r="O26" s="188" t="s">
        <v>27</v>
      </c>
      <c r="P26" s="188" t="s">
        <v>236</v>
      </c>
      <c r="Q26" s="189"/>
      <c r="R26" s="185" t="s">
        <v>41</v>
      </c>
      <c r="S26" s="185" t="s">
        <v>237</v>
      </c>
      <c r="T26" s="186" t="s">
        <v>228</v>
      </c>
      <c r="U26" s="187" t="s">
        <v>204</v>
      </c>
      <c r="V26" s="187" t="s">
        <v>100</v>
      </c>
      <c r="W26" s="187" t="s">
        <v>205</v>
      </c>
      <c r="X26" s="187" t="s">
        <v>206</v>
      </c>
      <c r="Y26" s="188" t="s">
        <v>27</v>
      </c>
      <c r="Z26" s="188" t="s">
        <v>236</v>
      </c>
    </row>
    <row r="27" spans="1:26" ht="15" thickBot="1" x14ac:dyDescent="0.35">
      <c r="A27" s="30"/>
      <c r="B27" s="160"/>
      <c r="C27" s="161" t="s">
        <v>25</v>
      </c>
      <c r="D27" s="162">
        <f>SUM(D23:D26)</f>
        <v>6</v>
      </c>
      <c r="G27" s="264" t="s">
        <v>161</v>
      </c>
      <c r="H27" s="118" t="s">
        <v>239</v>
      </c>
      <c r="I27" s="201"/>
      <c r="J27" s="137"/>
      <c r="K27" s="137"/>
      <c r="L27" s="137"/>
      <c r="M27" s="137"/>
      <c r="N27" s="153"/>
      <c r="O27" s="156"/>
      <c r="P27" s="156"/>
      <c r="Q27" s="200"/>
      <c r="R27" s="201"/>
      <c r="S27" s="201"/>
      <c r="T27" s="137"/>
      <c r="U27" s="137"/>
      <c r="V27" s="137"/>
      <c r="W27" s="137"/>
      <c r="X27" s="153"/>
      <c r="Y27" s="156"/>
      <c r="Z27" s="156"/>
    </row>
    <row r="28" spans="1:26" ht="15" thickBot="1" x14ac:dyDescent="0.35">
      <c r="F28" s="241">
        <v>1</v>
      </c>
      <c r="G28" s="202" t="s">
        <v>242</v>
      </c>
      <c r="H28" s="239" t="s">
        <v>239</v>
      </c>
      <c r="I28" s="235"/>
      <c r="J28" s="236"/>
      <c r="K28" s="236"/>
      <c r="L28" s="236"/>
      <c r="M28" s="236"/>
      <c r="N28" s="106"/>
      <c r="O28" s="207"/>
      <c r="P28" s="207"/>
      <c r="Q28" s="208"/>
      <c r="R28" s="209"/>
      <c r="S28" s="209"/>
      <c r="T28" s="205"/>
      <c r="U28" s="205"/>
      <c r="V28" s="205"/>
      <c r="W28" s="205"/>
      <c r="X28" s="206"/>
      <c r="Y28" s="207"/>
      <c r="Z28" s="207"/>
    </row>
    <row r="29" spans="1:26" x14ac:dyDescent="0.3">
      <c r="A29" s="220" t="s">
        <v>244</v>
      </c>
      <c r="B29" s="274"/>
      <c r="C29" s="274"/>
      <c r="D29" s="272"/>
      <c r="F29" s="241">
        <v>1</v>
      </c>
      <c r="G29" s="202">
        <f>SUM(H29:H38)</f>
        <v>10</v>
      </c>
      <c r="H29" s="210">
        <f t="shared" ref="H29:H37" si="6">MAX(K29:N29)+MAX(U29:X29)</f>
        <v>1</v>
      </c>
      <c r="I29" s="473" t="s">
        <v>53</v>
      </c>
      <c r="J29" s="466">
        <v>2</v>
      </c>
      <c r="K29" s="466"/>
      <c r="L29" s="466"/>
      <c r="M29" s="466"/>
      <c r="N29" s="467"/>
      <c r="O29" s="211">
        <f t="shared" ref="O29:O38" si="7">(J29+K29)*$Y$3</f>
        <v>1</v>
      </c>
      <c r="P29" s="211"/>
      <c r="Q29" s="195"/>
      <c r="R29" t="s">
        <v>191</v>
      </c>
      <c r="S29" s="212" t="s">
        <v>529</v>
      </c>
      <c r="T29" s="213">
        <v>1</v>
      </c>
      <c r="U29" s="213"/>
      <c r="V29" s="213">
        <v>1</v>
      </c>
      <c r="W29" s="213">
        <v>1</v>
      </c>
      <c r="X29" s="214"/>
      <c r="Y29" s="211">
        <f>(T29+U29)*$Y$3</f>
        <v>0.5</v>
      </c>
      <c r="Z29" s="211"/>
    </row>
    <row r="30" spans="1:26" x14ac:dyDescent="0.3">
      <c r="A30" s="221"/>
      <c r="C30" s="241" t="s">
        <v>26</v>
      </c>
      <c r="D30" s="254">
        <f>P2</f>
        <v>2</v>
      </c>
      <c r="G30" s="202"/>
      <c r="H30" s="210">
        <f t="shared" si="6"/>
        <v>2</v>
      </c>
      <c r="I30" s="357" t="s">
        <v>43</v>
      </c>
      <c r="J30" s="49"/>
      <c r="K30" s="49">
        <v>1</v>
      </c>
      <c r="L30" s="49"/>
      <c r="M30" s="49"/>
      <c r="N30" s="48"/>
      <c r="O30" s="211">
        <f t="shared" si="7"/>
        <v>0.5</v>
      </c>
      <c r="P30" s="211"/>
      <c r="Q30" s="195"/>
      <c r="R30" s="551" t="s">
        <v>191</v>
      </c>
      <c r="S30" s="551" t="s">
        <v>75</v>
      </c>
      <c r="T30" s="552"/>
      <c r="U30" s="552">
        <v>1</v>
      </c>
      <c r="V30" s="552">
        <v>1</v>
      </c>
      <c r="W30" s="552">
        <v>1</v>
      </c>
      <c r="X30" s="552"/>
      <c r="Y30" s="211">
        <f t="shared" ref="Y30:Y37" si="8">(T30+U30)*$Y$3</f>
        <v>0.5</v>
      </c>
      <c r="Z30" s="211"/>
    </row>
    <row r="31" spans="1:26" x14ac:dyDescent="0.3">
      <c r="A31" s="29"/>
      <c r="B31" s="157" t="s">
        <v>232</v>
      </c>
      <c r="C31" s="157"/>
      <c r="D31" s="224"/>
      <c r="G31" s="202"/>
      <c r="H31" s="210">
        <f t="shared" si="6"/>
        <v>2</v>
      </c>
      <c r="I31" s="357" t="s">
        <v>462</v>
      </c>
      <c r="J31" s="49">
        <v>2</v>
      </c>
      <c r="K31" s="49"/>
      <c r="L31" s="49"/>
      <c r="M31" s="49"/>
      <c r="N31" s="48"/>
      <c r="O31" s="211">
        <f t="shared" si="7"/>
        <v>1</v>
      </c>
      <c r="P31" s="211"/>
      <c r="Q31" s="195"/>
      <c r="R31" s="551" t="s">
        <v>74</v>
      </c>
      <c r="S31" s="551" t="s">
        <v>466</v>
      </c>
      <c r="T31" s="552"/>
      <c r="U31" s="552">
        <v>1</v>
      </c>
      <c r="V31" s="552">
        <v>1</v>
      </c>
      <c r="W31" s="552">
        <v>2</v>
      </c>
      <c r="X31" s="552"/>
      <c r="Y31" s="211">
        <f t="shared" si="8"/>
        <v>0.5</v>
      </c>
      <c r="Z31" s="211"/>
    </row>
    <row r="32" spans="1:26" x14ac:dyDescent="0.3">
      <c r="A32" s="29"/>
      <c r="B32" s="159"/>
      <c r="C32" s="24" t="s">
        <v>16</v>
      </c>
      <c r="D32" s="25">
        <f>INT(B32/4)</f>
        <v>0</v>
      </c>
      <c r="G32" s="202"/>
      <c r="H32" s="210">
        <f t="shared" si="6"/>
        <v>1</v>
      </c>
      <c r="I32" s="357" t="s">
        <v>91</v>
      </c>
      <c r="J32" s="546"/>
      <c r="K32" s="49">
        <v>1</v>
      </c>
      <c r="L32" s="49"/>
      <c r="M32" s="49"/>
      <c r="N32" s="48"/>
      <c r="O32" s="211">
        <f t="shared" si="7"/>
        <v>0.5</v>
      </c>
      <c r="P32" s="211"/>
      <c r="Q32" s="195"/>
      <c r="R32" s="551"/>
      <c r="S32" s="551"/>
      <c r="T32" s="552"/>
      <c r="U32" s="552"/>
      <c r="V32" s="552"/>
      <c r="W32" s="552"/>
      <c r="X32" s="552"/>
      <c r="Y32" s="211">
        <f t="shared" si="8"/>
        <v>0</v>
      </c>
      <c r="Z32" s="211"/>
    </row>
    <row r="33" spans="1:26" ht="15" thickBot="1" x14ac:dyDescent="0.35">
      <c r="A33" s="29"/>
      <c r="B33" s="159"/>
      <c r="C33" s="24" t="s">
        <v>17</v>
      </c>
      <c r="D33" s="25">
        <f>INT(B33/3)</f>
        <v>0</v>
      </c>
      <c r="G33" s="265"/>
      <c r="H33" s="210">
        <f t="shared" si="6"/>
        <v>2</v>
      </c>
      <c r="I33" s="468" t="s">
        <v>45</v>
      </c>
      <c r="J33" s="69"/>
      <c r="K33" s="69">
        <v>1</v>
      </c>
      <c r="L33" s="69"/>
      <c r="M33" s="69"/>
      <c r="N33" s="475"/>
      <c r="O33" s="211">
        <f t="shared" si="7"/>
        <v>0.5</v>
      </c>
      <c r="P33" s="216"/>
      <c r="Q33" s="195"/>
      <c r="R33" s="443" t="s">
        <v>507</v>
      </c>
      <c r="S33" s="443" t="s">
        <v>508</v>
      </c>
      <c r="T33" s="256"/>
      <c r="U33" s="256">
        <v>1</v>
      </c>
      <c r="V33" s="256">
        <v>1</v>
      </c>
      <c r="W33" s="256">
        <v>1</v>
      </c>
      <c r="X33" s="256"/>
      <c r="Y33" s="211">
        <f t="shared" si="8"/>
        <v>0.5</v>
      </c>
      <c r="Z33" s="216"/>
    </row>
    <row r="34" spans="1:26" x14ac:dyDescent="0.3">
      <c r="A34" s="29"/>
      <c r="B34" s="159"/>
      <c r="C34" s="24" t="s">
        <v>18</v>
      </c>
      <c r="D34" s="25">
        <f>B34</f>
        <v>0</v>
      </c>
      <c r="F34" s="241">
        <v>1</v>
      </c>
      <c r="G34" s="265"/>
      <c r="H34" s="210">
        <f t="shared" si="6"/>
        <v>2</v>
      </c>
      <c r="I34" s="550" t="s">
        <v>519</v>
      </c>
      <c r="J34" s="256">
        <v>1</v>
      </c>
      <c r="K34" s="256">
        <v>2</v>
      </c>
      <c r="L34" s="256"/>
      <c r="M34" s="256"/>
      <c r="N34" s="256"/>
      <c r="O34" s="211">
        <f t="shared" si="7"/>
        <v>1.5</v>
      </c>
      <c r="P34" s="216"/>
      <c r="Q34" s="195"/>
      <c r="R34" s="57"/>
      <c r="S34" s="57"/>
      <c r="T34" s="266"/>
      <c r="U34" s="266"/>
      <c r="V34" s="266"/>
      <c r="W34" s="266"/>
      <c r="Y34" s="211">
        <f t="shared" si="8"/>
        <v>0</v>
      </c>
      <c r="Z34" s="216"/>
    </row>
    <row r="35" spans="1:26" x14ac:dyDescent="0.3">
      <c r="A35" s="29"/>
      <c r="C35" s="241" t="s">
        <v>12</v>
      </c>
      <c r="D35" s="136">
        <f>INT((D14-10)/5)</f>
        <v>6</v>
      </c>
      <c r="G35" s="265"/>
      <c r="H35" s="210"/>
      <c r="I35" s="550" t="s">
        <v>54</v>
      </c>
      <c r="J35" s="256"/>
      <c r="K35" s="256"/>
      <c r="L35" s="256">
        <v>2</v>
      </c>
      <c r="M35" s="256">
        <v>1</v>
      </c>
      <c r="N35" s="256"/>
      <c r="O35" s="211">
        <f t="shared" si="7"/>
        <v>0</v>
      </c>
      <c r="P35" s="216"/>
      <c r="Q35" s="195"/>
      <c r="R35" s="57"/>
      <c r="S35" s="57"/>
      <c r="T35" s="266"/>
      <c r="U35" s="266"/>
      <c r="V35" s="266"/>
      <c r="W35" s="266"/>
      <c r="Y35" s="211">
        <f t="shared" si="8"/>
        <v>0</v>
      </c>
      <c r="Z35" s="216"/>
    </row>
    <row r="36" spans="1:26" ht="15" thickBot="1" x14ac:dyDescent="0.35">
      <c r="A36" s="29"/>
      <c r="C36" s="263" t="s">
        <v>7</v>
      </c>
      <c r="D36" s="229">
        <f>SUM(D30:D35)</f>
        <v>8</v>
      </c>
      <c r="G36" s="265"/>
      <c r="H36" s="210"/>
      <c r="O36" s="211">
        <f t="shared" si="7"/>
        <v>0</v>
      </c>
      <c r="P36" s="216"/>
      <c r="Q36" s="195"/>
      <c r="R36" s="57"/>
      <c r="S36" s="57"/>
      <c r="T36" s="266"/>
      <c r="U36" s="266"/>
      <c r="V36" s="266"/>
      <c r="W36" s="266"/>
      <c r="Y36" s="211">
        <f t="shared" si="8"/>
        <v>0</v>
      </c>
      <c r="Z36" s="216"/>
    </row>
    <row r="37" spans="1:26" ht="15.6" thickTop="1" thickBot="1" x14ac:dyDescent="0.35">
      <c r="A37" s="30"/>
      <c r="B37" s="261"/>
      <c r="C37" s="261" t="s">
        <v>517</v>
      </c>
      <c r="D37" s="262">
        <f>D27-D36</f>
        <v>-2</v>
      </c>
      <c r="F37" s="241">
        <v>4.5</v>
      </c>
      <c r="G37" s="265"/>
      <c r="H37" s="210">
        <f t="shared" si="6"/>
        <v>0</v>
      </c>
      <c r="I37" s="266"/>
      <c r="J37" s="266"/>
      <c r="K37" s="266"/>
      <c r="L37" s="266"/>
      <c r="M37" s="266"/>
      <c r="N37" s="266"/>
      <c r="O37" s="216">
        <f t="shared" si="7"/>
        <v>0</v>
      </c>
      <c r="P37" s="216"/>
      <c r="Q37" s="195"/>
      <c r="R37" s="57"/>
      <c r="S37" s="57"/>
      <c r="T37" s="266"/>
      <c r="U37" s="266"/>
      <c r="V37" s="266"/>
      <c r="W37" s="266"/>
      <c r="Y37" s="211">
        <f t="shared" si="8"/>
        <v>0</v>
      </c>
      <c r="Z37" s="216"/>
    </row>
    <row r="38" spans="1:26" ht="15" thickBot="1" x14ac:dyDescent="0.35">
      <c r="B38" s="27" t="s">
        <v>518</v>
      </c>
      <c r="D38" s="241">
        <f>IF(D37&lt;=0,0,D37)</f>
        <v>0</v>
      </c>
      <c r="G38" s="265"/>
      <c r="H38" s="225">
        <f>MAX(K38:N38)+MAX(U38:X38)</f>
        <v>0</v>
      </c>
      <c r="I38" s="269"/>
      <c r="J38" s="269"/>
      <c r="K38" s="269"/>
      <c r="L38" s="269"/>
      <c r="M38" s="269"/>
      <c r="N38" s="269"/>
      <c r="O38" s="216">
        <f t="shared" si="7"/>
        <v>0</v>
      </c>
      <c r="P38" s="216"/>
      <c r="Q38" s="195"/>
      <c r="R38" s="81"/>
      <c r="S38" s="81"/>
      <c r="T38" s="269"/>
      <c r="U38" s="269"/>
      <c r="V38" s="269"/>
      <c r="W38" s="269"/>
      <c r="X38" s="261"/>
      <c r="Y38" s="216">
        <f>(T38+U38)*$Y$3</f>
        <v>0</v>
      </c>
      <c r="Z38" s="216"/>
    </row>
    <row r="39" spans="1:26" ht="15" thickBot="1" x14ac:dyDescent="0.35">
      <c r="G39" s="183" t="s">
        <v>312</v>
      </c>
      <c r="H39" s="184" t="s">
        <v>69</v>
      </c>
      <c r="I39" s="486" t="s">
        <v>237</v>
      </c>
      <c r="J39" s="489" t="s">
        <v>228</v>
      </c>
      <c r="K39" s="490" t="s">
        <v>204</v>
      </c>
      <c r="L39" s="490" t="s">
        <v>100</v>
      </c>
      <c r="M39" s="490" t="s">
        <v>205</v>
      </c>
      <c r="N39" s="187" t="s">
        <v>206</v>
      </c>
      <c r="O39" s="188" t="s">
        <v>27</v>
      </c>
      <c r="P39" s="188" t="s">
        <v>236</v>
      </c>
      <c r="Q39" s="189"/>
      <c r="R39" s="185" t="s">
        <v>41</v>
      </c>
      <c r="S39" s="185" t="s">
        <v>237</v>
      </c>
      <c r="T39" s="186" t="s">
        <v>228</v>
      </c>
      <c r="U39" s="187" t="s">
        <v>204</v>
      </c>
      <c r="V39" s="187" t="s">
        <v>100</v>
      </c>
      <c r="W39" s="187" t="s">
        <v>205</v>
      </c>
      <c r="X39" s="187" t="s">
        <v>206</v>
      </c>
      <c r="Y39" s="188" t="s">
        <v>27</v>
      </c>
      <c r="Z39" s="188" t="s">
        <v>236</v>
      </c>
    </row>
    <row r="40" spans="1:26" ht="15" thickBot="1" x14ac:dyDescent="0.35">
      <c r="C40" s="267" t="s">
        <v>27</v>
      </c>
      <c r="D40" s="267">
        <f>D19-D387</f>
        <v>26.3</v>
      </c>
      <c r="G40" s="264" t="s">
        <v>161</v>
      </c>
      <c r="H40" s="118" t="s">
        <v>239</v>
      </c>
      <c r="I40" s="539" t="s">
        <v>510</v>
      </c>
      <c r="J40" s="540"/>
      <c r="K40" s="540"/>
      <c r="L40" s="540">
        <v>2</v>
      </c>
      <c r="M40" s="540">
        <v>2</v>
      </c>
      <c r="N40" s="153"/>
      <c r="O40" s="156"/>
      <c r="P40" s="156"/>
      <c r="Q40" s="200"/>
      <c r="R40" s="201"/>
      <c r="S40" s="201"/>
      <c r="T40" s="137"/>
      <c r="U40" s="137"/>
      <c r="V40" s="137"/>
      <c r="W40" s="137"/>
      <c r="X40" s="153"/>
      <c r="Y40" s="156"/>
      <c r="Z40" s="156"/>
    </row>
    <row r="41" spans="1:26" ht="15.6" thickTop="1" thickBot="1" x14ac:dyDescent="0.35">
      <c r="F41" s="241">
        <v>1</v>
      </c>
      <c r="G41" s="202" t="s">
        <v>242</v>
      </c>
      <c r="H41" s="239" t="s">
        <v>239</v>
      </c>
      <c r="I41" s="488"/>
      <c r="J41" s="492"/>
      <c r="K41" s="492"/>
      <c r="L41" s="492"/>
      <c r="M41" s="492"/>
      <c r="N41" s="206"/>
      <c r="O41" s="207"/>
      <c r="P41" s="207"/>
      <c r="Q41" s="208"/>
      <c r="R41" s="209"/>
      <c r="S41" s="209"/>
      <c r="T41" s="205"/>
      <c r="U41" s="205"/>
      <c r="V41" s="205"/>
      <c r="W41" s="205"/>
      <c r="X41" s="206"/>
      <c r="Y41" s="207"/>
      <c r="Z41" s="207"/>
    </row>
    <row r="42" spans="1:26" x14ac:dyDescent="0.3">
      <c r="G42" s="202">
        <f>SUM(H42:H49)</f>
        <v>10</v>
      </c>
      <c r="H42" s="231">
        <f>MAX(K42:N42)+MAX(U42:X42)</f>
        <v>5</v>
      </c>
      <c r="I42" s="266" t="s">
        <v>514</v>
      </c>
      <c r="J42" s="416">
        <v>3</v>
      </c>
      <c r="K42" s="416">
        <v>2</v>
      </c>
      <c r="L42" s="416">
        <v>3</v>
      </c>
      <c r="M42" s="554">
        <v>3</v>
      </c>
      <c r="N42" s="253"/>
      <c r="O42" s="211">
        <f>(J42+K42)*$Y$3</f>
        <v>2.5</v>
      </c>
      <c r="P42" s="211"/>
      <c r="Q42" s="195"/>
      <c r="R42" s="212" t="s">
        <v>114</v>
      </c>
      <c r="S42" s="212" t="s">
        <v>483</v>
      </c>
      <c r="T42" s="213"/>
      <c r="U42" s="553">
        <v>2</v>
      </c>
      <c r="V42" s="213"/>
      <c r="W42" s="213"/>
      <c r="X42" s="214"/>
      <c r="Y42" s="211">
        <f>(T42+U42)*$Y$3</f>
        <v>1</v>
      </c>
      <c r="Z42" s="211"/>
    </row>
    <row r="43" spans="1:26" x14ac:dyDescent="0.3">
      <c r="G43" s="265"/>
      <c r="H43" s="210">
        <f>MAX(K43:N43)+MAX(U43:X43)</f>
        <v>1</v>
      </c>
      <c r="I43" s="259" t="s">
        <v>400</v>
      </c>
      <c r="J43" s="259">
        <v>1</v>
      </c>
      <c r="K43" s="259">
        <v>1</v>
      </c>
      <c r="L43" s="259">
        <v>1</v>
      </c>
      <c r="M43" s="259">
        <v>1</v>
      </c>
      <c r="N43" s="259"/>
      <c r="O43" s="216">
        <f>(J43+K43)*$Y$3</f>
        <v>1</v>
      </c>
      <c r="P43" s="216"/>
      <c r="Q43" s="195"/>
      <c r="R43" s="57"/>
      <c r="S43" s="57"/>
      <c r="T43" s="259"/>
      <c r="U43" s="259"/>
      <c r="V43" s="259"/>
      <c r="W43" s="259"/>
      <c r="X43" s="253"/>
      <c r="Y43" s="216">
        <f>(T43+U43)*$Y$3</f>
        <v>0</v>
      </c>
      <c r="Z43" s="216"/>
    </row>
    <row r="44" spans="1:26" x14ac:dyDescent="0.3">
      <c r="G44" s="265"/>
      <c r="H44" s="210">
        <f t="shared" ref="H44:H47" si="9">MAX(K44:N44)+MAX(U44:X44)</f>
        <v>2</v>
      </c>
      <c r="I44" s="416" t="s">
        <v>115</v>
      </c>
      <c r="J44" s="416"/>
      <c r="K44" s="416">
        <v>1</v>
      </c>
      <c r="L44" s="416">
        <v>1</v>
      </c>
      <c r="M44" s="416">
        <v>1</v>
      </c>
      <c r="N44" s="416"/>
      <c r="O44" s="216">
        <f t="shared" ref="O44:O47" si="10">(J44+K44)*$Y$3</f>
        <v>0.5</v>
      </c>
      <c r="P44" s="216"/>
      <c r="Q44" s="195"/>
      <c r="R44" s="443" t="s">
        <v>516</v>
      </c>
      <c r="S44" s="443" t="s">
        <v>515</v>
      </c>
      <c r="T44" s="416"/>
      <c r="U44" s="416">
        <v>1</v>
      </c>
      <c r="V44" s="416">
        <v>1</v>
      </c>
      <c r="W44" s="416">
        <v>1</v>
      </c>
      <c r="X44" s="253"/>
      <c r="Y44" s="216">
        <f t="shared" ref="Y44:Y47" si="11">(T44+U44)*$Y$3</f>
        <v>0.5</v>
      </c>
      <c r="Z44" s="216"/>
    </row>
    <row r="45" spans="1:26" x14ac:dyDescent="0.3">
      <c r="G45" s="265"/>
      <c r="H45" s="210">
        <f t="shared" si="9"/>
        <v>2</v>
      </c>
      <c r="I45" s="416" t="s">
        <v>413</v>
      </c>
      <c r="J45" s="416">
        <v>1</v>
      </c>
      <c r="K45" s="416">
        <v>2</v>
      </c>
      <c r="L45" s="416"/>
      <c r="M45" s="416"/>
      <c r="N45" s="416"/>
      <c r="O45" s="216">
        <f t="shared" si="10"/>
        <v>1.5</v>
      </c>
      <c r="P45" s="216"/>
      <c r="Q45" s="195"/>
      <c r="R45" s="443"/>
      <c r="S45" s="443"/>
      <c r="T45" s="256"/>
      <c r="U45" s="256"/>
      <c r="V45" s="256"/>
      <c r="W45" s="256"/>
      <c r="X45" s="253"/>
      <c r="Y45" s="216">
        <f t="shared" si="11"/>
        <v>0</v>
      </c>
      <c r="Z45" s="216"/>
    </row>
    <row r="46" spans="1:26" x14ac:dyDescent="0.3">
      <c r="G46" s="265"/>
      <c r="H46" s="210">
        <f t="shared" si="9"/>
        <v>0</v>
      </c>
      <c r="I46" s="259"/>
      <c r="J46" s="259"/>
      <c r="K46" s="259"/>
      <c r="L46" s="259"/>
      <c r="M46" s="259"/>
      <c r="N46" s="259"/>
      <c r="O46" s="216">
        <f t="shared" si="10"/>
        <v>0</v>
      </c>
      <c r="P46" s="216"/>
      <c r="Q46" s="195"/>
      <c r="R46" s="57"/>
      <c r="S46" s="57"/>
      <c r="T46" s="259"/>
      <c r="U46" s="259"/>
      <c r="V46" s="259"/>
      <c r="W46" s="259"/>
      <c r="X46" s="253"/>
      <c r="Y46" s="216">
        <f t="shared" si="11"/>
        <v>0</v>
      </c>
      <c r="Z46" s="216"/>
    </row>
    <row r="47" spans="1:26" x14ac:dyDescent="0.3">
      <c r="G47" s="265"/>
      <c r="H47" s="210">
        <f t="shared" si="9"/>
        <v>0</v>
      </c>
      <c r="I47" s="259"/>
      <c r="J47" s="259"/>
      <c r="K47" s="259"/>
      <c r="L47" s="259"/>
      <c r="M47" s="259"/>
      <c r="N47" s="259"/>
      <c r="O47" s="216">
        <f t="shared" si="10"/>
        <v>0</v>
      </c>
      <c r="P47" s="216"/>
      <c r="Q47" s="195"/>
      <c r="R47" s="57"/>
      <c r="S47" s="57"/>
      <c r="T47" s="259"/>
      <c r="U47" s="259"/>
      <c r="V47" s="259"/>
      <c r="W47" s="259"/>
      <c r="X47" s="253"/>
      <c r="Y47" s="216">
        <f t="shared" si="11"/>
        <v>0</v>
      </c>
      <c r="Z47" s="216"/>
    </row>
    <row r="48" spans="1:26" x14ac:dyDescent="0.3">
      <c r="G48" s="265"/>
      <c r="H48" s="210">
        <f>MAX(K48:N48)+MAX(U48:X48)</f>
        <v>0</v>
      </c>
      <c r="I48" s="259"/>
      <c r="J48" s="259"/>
      <c r="K48" s="259"/>
      <c r="L48" s="259"/>
      <c r="M48" s="259"/>
      <c r="N48" s="259"/>
      <c r="O48" s="216">
        <f>(J48+K48)*$Y$3</f>
        <v>0</v>
      </c>
      <c r="P48" s="216"/>
      <c r="Q48" s="195"/>
      <c r="R48" s="57"/>
      <c r="S48" s="57"/>
      <c r="T48" s="259"/>
      <c r="U48" s="259"/>
      <c r="V48" s="259"/>
      <c r="W48" s="259"/>
      <c r="X48" s="253"/>
      <c r="Y48" s="216">
        <f>(T48+U48)*$Y$3</f>
        <v>0</v>
      </c>
      <c r="Z48" s="216"/>
    </row>
    <row r="49" spans="6:26" ht="15" thickBot="1" x14ac:dyDescent="0.35">
      <c r="F49" s="241">
        <v>1.5</v>
      </c>
      <c r="G49" s="268"/>
      <c r="H49" s="225">
        <f>MAX(K49:N49)+MAX(U49:X49)</f>
        <v>0</v>
      </c>
      <c r="I49" s="269"/>
      <c r="J49" s="269"/>
      <c r="K49" s="269"/>
      <c r="L49" s="269"/>
      <c r="M49" s="269"/>
      <c r="N49" s="269"/>
      <c r="O49" s="232">
        <f>(J49+K49)*$Y$3</f>
        <v>0</v>
      </c>
      <c r="P49" s="232"/>
      <c r="Q49" s="226"/>
      <c r="R49" s="81"/>
      <c r="S49" s="81"/>
      <c r="T49" s="269"/>
      <c r="U49" s="269"/>
      <c r="V49" s="269"/>
      <c r="W49" s="269"/>
      <c r="X49" s="261"/>
      <c r="Y49" s="232">
        <f>(T49+U49)*$Y$3</f>
        <v>0</v>
      </c>
      <c r="Z49" s="232"/>
    </row>
    <row r="50" spans="6:26" ht="15" thickBot="1" x14ac:dyDescent="0.35">
      <c r="G50" s="183" t="s">
        <v>313</v>
      </c>
      <c r="H50" s="184" t="s">
        <v>69</v>
      </c>
      <c r="I50" s="486" t="s">
        <v>237</v>
      </c>
      <c r="J50" s="493" t="s">
        <v>228</v>
      </c>
      <c r="K50" s="490" t="s">
        <v>204</v>
      </c>
      <c r="L50" s="490" t="s">
        <v>100</v>
      </c>
      <c r="M50" s="490" t="s">
        <v>205</v>
      </c>
      <c r="N50" s="187" t="s">
        <v>206</v>
      </c>
      <c r="O50" s="188" t="s">
        <v>27</v>
      </c>
      <c r="P50" s="188" t="s">
        <v>236</v>
      </c>
      <c r="Q50" s="189"/>
      <c r="R50" s="185" t="s">
        <v>41</v>
      </c>
      <c r="S50" s="185" t="s">
        <v>237</v>
      </c>
      <c r="T50" s="154" t="s">
        <v>228</v>
      </c>
      <c r="U50" s="187" t="s">
        <v>204</v>
      </c>
      <c r="V50" s="187" t="s">
        <v>100</v>
      </c>
      <c r="W50" s="187" t="s">
        <v>205</v>
      </c>
      <c r="X50" s="187" t="s">
        <v>206</v>
      </c>
      <c r="Y50" s="188" t="s">
        <v>27</v>
      </c>
      <c r="Z50" s="188" t="s">
        <v>236</v>
      </c>
    </row>
    <row r="51" spans="6:26" ht="15" thickBot="1" x14ac:dyDescent="0.35">
      <c r="G51" s="264" t="s">
        <v>161</v>
      </c>
      <c r="H51" s="118" t="s">
        <v>239</v>
      </c>
      <c r="I51" s="539" t="s">
        <v>510</v>
      </c>
      <c r="J51" s="540"/>
      <c r="K51" s="540"/>
      <c r="L51" s="540">
        <v>2</v>
      </c>
      <c r="M51" s="540">
        <v>2</v>
      </c>
      <c r="N51" s="153"/>
      <c r="O51" s="156"/>
      <c r="P51" s="156"/>
      <c r="Q51" s="200"/>
      <c r="R51" s="201"/>
      <c r="S51" s="201"/>
      <c r="T51" s="137"/>
      <c r="U51" s="137"/>
      <c r="V51" s="137"/>
      <c r="W51" s="137"/>
      <c r="X51" s="153"/>
      <c r="Y51" s="156"/>
      <c r="Z51" s="156"/>
    </row>
    <row r="52" spans="6:26" x14ac:dyDescent="0.3">
      <c r="G52" s="202" t="s">
        <v>242</v>
      </c>
      <c r="H52" s="227" t="s">
        <v>239</v>
      </c>
      <c r="I52" s="488"/>
      <c r="J52" s="492"/>
      <c r="K52" s="492"/>
      <c r="L52" s="492"/>
      <c r="M52" s="492"/>
      <c r="N52" s="206"/>
      <c r="O52" s="207"/>
      <c r="P52" s="207"/>
      <c r="Q52" s="208"/>
      <c r="R52" s="209"/>
      <c r="S52" s="209"/>
      <c r="T52" s="205"/>
      <c r="U52" s="205"/>
      <c r="V52" s="205"/>
      <c r="W52" s="205"/>
      <c r="X52" s="206"/>
      <c r="Y52" s="207"/>
      <c r="Z52" s="207"/>
    </row>
    <row r="53" spans="6:26" x14ac:dyDescent="0.3">
      <c r="G53" s="202">
        <f>SUM(H53:H61)</f>
        <v>12</v>
      </c>
      <c r="H53" s="228">
        <f>MAX(K53:N53)+MAX(U53:X53)</f>
        <v>4</v>
      </c>
      <c r="I53" s="57" t="s">
        <v>84</v>
      </c>
      <c r="J53" s="266"/>
      <c r="K53" s="266"/>
      <c r="L53" s="266">
        <v>2</v>
      </c>
      <c r="M53" s="266">
        <v>1</v>
      </c>
      <c r="O53" s="211">
        <f>(J53+K53)*$Y$3</f>
        <v>0</v>
      </c>
      <c r="P53" s="211"/>
      <c r="Q53" s="195"/>
      <c r="R53" s="212" t="s">
        <v>315</v>
      </c>
      <c r="S53" s="212" t="s">
        <v>511</v>
      </c>
      <c r="T53" s="213"/>
      <c r="U53" s="553">
        <v>2</v>
      </c>
      <c r="V53" s="213"/>
      <c r="W53" s="213"/>
      <c r="X53" s="214"/>
      <c r="Y53" s="211">
        <f>(T53+U53)*$Y$3</f>
        <v>1</v>
      </c>
      <c r="Z53" s="211"/>
    </row>
    <row r="54" spans="6:26" x14ac:dyDescent="0.3">
      <c r="G54" s="265"/>
      <c r="H54" s="228">
        <f t="shared" ref="H54:H66" si="12">MAX(K54:N54)+MAX(U54:X54)</f>
        <v>5</v>
      </c>
      <c r="I54" s="443" t="s">
        <v>509</v>
      </c>
      <c r="J54" s="256"/>
      <c r="K54" s="256">
        <v>1</v>
      </c>
      <c r="L54" s="256"/>
      <c r="M54" s="256"/>
      <c r="N54" s="256"/>
      <c r="O54" s="216">
        <f>(J54+K54)*$Y$3</f>
        <v>0.5</v>
      </c>
      <c r="P54" s="216"/>
      <c r="Q54" s="195"/>
      <c r="R54" s="443" t="s">
        <v>319</v>
      </c>
      <c r="S54" s="443" t="s">
        <v>512</v>
      </c>
      <c r="T54" s="256"/>
      <c r="U54" s="256">
        <v>4</v>
      </c>
      <c r="V54" s="256">
        <v>2</v>
      </c>
      <c r="W54" s="256">
        <v>1</v>
      </c>
      <c r="X54" s="256"/>
      <c r="Y54" s="216">
        <f t="shared" ref="Y54:Y66" si="13">(T54+U54)*$Y$3</f>
        <v>2</v>
      </c>
      <c r="Z54" s="216"/>
    </row>
    <row r="55" spans="6:26" x14ac:dyDescent="0.3">
      <c r="G55" s="265"/>
      <c r="H55" s="228">
        <f t="shared" ref="H55:H59" si="14">MAX(K55:N55)+MAX(U55:X55)</f>
        <v>3</v>
      </c>
      <c r="I55" s="443" t="s">
        <v>513</v>
      </c>
      <c r="J55" s="256"/>
      <c r="K55" s="256">
        <v>3</v>
      </c>
      <c r="L55" s="256">
        <v>1</v>
      </c>
      <c r="M55" s="256">
        <v>1</v>
      </c>
      <c r="N55" s="256"/>
      <c r="O55" s="216">
        <f t="shared" ref="O55:O59" si="15">(J55+K55)*$Y$3</f>
        <v>1.5</v>
      </c>
      <c r="P55" s="216"/>
      <c r="Q55" s="195"/>
      <c r="R55" s="57"/>
      <c r="S55" s="57"/>
      <c r="T55" s="266"/>
      <c r="U55" s="266"/>
      <c r="V55" s="266"/>
      <c r="W55" s="266"/>
      <c r="Y55" s="216">
        <f t="shared" ref="Y55:Y59" si="16">(T55+U55)*$Y$3</f>
        <v>0</v>
      </c>
      <c r="Z55" s="216"/>
    </row>
    <row r="56" spans="6:26" x14ac:dyDescent="0.3">
      <c r="G56" s="265"/>
      <c r="H56" s="228">
        <f t="shared" si="14"/>
        <v>0</v>
      </c>
      <c r="I56" s="57"/>
      <c r="J56" s="266"/>
      <c r="K56" s="266"/>
      <c r="L56" s="266"/>
      <c r="M56" s="266"/>
      <c r="N56" s="266"/>
      <c r="O56" s="216">
        <f t="shared" si="15"/>
        <v>0</v>
      </c>
      <c r="P56" s="216"/>
      <c r="Q56" s="195"/>
      <c r="R56" s="57"/>
      <c r="S56" s="57"/>
      <c r="T56" s="266"/>
      <c r="U56" s="266"/>
      <c r="V56" s="266"/>
      <c r="W56" s="266"/>
      <c r="Y56" s="216">
        <f t="shared" si="16"/>
        <v>0</v>
      </c>
      <c r="Z56" s="216"/>
    </row>
    <row r="57" spans="6:26" x14ac:dyDescent="0.3">
      <c r="G57" s="265"/>
      <c r="H57" s="228">
        <f t="shared" si="14"/>
        <v>0</v>
      </c>
      <c r="I57" s="57"/>
      <c r="J57" s="266"/>
      <c r="K57" s="266"/>
      <c r="L57" s="266"/>
      <c r="M57" s="266"/>
      <c r="N57" s="266"/>
      <c r="O57" s="216">
        <f t="shared" si="15"/>
        <v>0</v>
      </c>
      <c r="P57" s="216"/>
      <c r="Q57" s="195"/>
      <c r="R57" s="57"/>
      <c r="S57" s="57"/>
      <c r="T57" s="266"/>
      <c r="U57" s="266"/>
      <c r="V57" s="266"/>
      <c r="W57" s="266"/>
      <c r="Y57" s="216">
        <f t="shared" si="16"/>
        <v>0</v>
      </c>
      <c r="Z57" s="216"/>
    </row>
    <row r="58" spans="6:26" x14ac:dyDescent="0.3">
      <c r="G58" s="265"/>
      <c r="H58" s="228">
        <f t="shared" si="14"/>
        <v>0</v>
      </c>
      <c r="I58" s="57"/>
      <c r="J58" s="266"/>
      <c r="K58" s="266"/>
      <c r="L58" s="266"/>
      <c r="M58" s="266"/>
      <c r="N58" s="266"/>
      <c r="O58" s="216">
        <f t="shared" si="15"/>
        <v>0</v>
      </c>
      <c r="P58" s="216"/>
      <c r="Q58" s="195"/>
      <c r="R58" s="57"/>
      <c r="S58" s="57"/>
      <c r="T58" s="266"/>
      <c r="U58" s="266"/>
      <c r="V58" s="266"/>
      <c r="W58" s="266"/>
      <c r="Y58" s="216">
        <f t="shared" si="16"/>
        <v>0</v>
      </c>
      <c r="Z58" s="216"/>
    </row>
    <row r="59" spans="6:26" x14ac:dyDescent="0.3">
      <c r="G59" s="265"/>
      <c r="H59" s="228">
        <f t="shared" si="14"/>
        <v>0</v>
      </c>
      <c r="I59" s="57"/>
      <c r="J59" s="266"/>
      <c r="K59" s="266"/>
      <c r="L59" s="266"/>
      <c r="M59" s="266"/>
      <c r="N59" s="266"/>
      <c r="O59" s="216">
        <f t="shared" si="15"/>
        <v>0</v>
      </c>
      <c r="P59" s="216"/>
      <c r="Q59" s="195"/>
      <c r="R59" s="57"/>
      <c r="S59" s="57"/>
      <c r="T59" s="266"/>
      <c r="U59" s="266"/>
      <c r="V59" s="266"/>
      <c r="W59" s="266"/>
      <c r="Y59" s="216">
        <f t="shared" si="16"/>
        <v>0</v>
      </c>
      <c r="Z59" s="216"/>
    </row>
    <row r="60" spans="6:26" x14ac:dyDescent="0.3">
      <c r="G60" s="265"/>
      <c r="H60" s="228">
        <f t="shared" si="12"/>
        <v>0</v>
      </c>
      <c r="I60" s="57"/>
      <c r="J60" s="266"/>
      <c r="K60" s="266"/>
      <c r="L60" s="266"/>
      <c r="M60" s="266"/>
      <c r="N60" s="266"/>
      <c r="O60" s="216">
        <f>(J60+K60)*$Y$3</f>
        <v>0</v>
      </c>
      <c r="P60" s="216"/>
      <c r="Q60" s="195"/>
      <c r="R60" s="57"/>
      <c r="S60" s="57"/>
      <c r="T60" s="266"/>
      <c r="U60" s="266"/>
      <c r="V60" s="266"/>
      <c r="W60" s="266"/>
      <c r="Y60" s="216">
        <f t="shared" si="13"/>
        <v>0</v>
      </c>
      <c r="Z60" s="216"/>
    </row>
    <row r="61" spans="6:26" ht="15" thickBot="1" x14ac:dyDescent="0.35">
      <c r="G61" s="265"/>
      <c r="H61" s="228">
        <f t="shared" si="12"/>
        <v>0</v>
      </c>
      <c r="I61" s="81"/>
      <c r="J61" s="269"/>
      <c r="K61" s="269"/>
      <c r="L61" s="269"/>
      <c r="M61" s="269"/>
      <c r="N61" s="269"/>
      <c r="O61" s="216">
        <f>(J61+K61)*$Y$3</f>
        <v>0</v>
      </c>
      <c r="P61" s="216"/>
      <c r="Q61" s="226"/>
      <c r="R61" s="81"/>
      <c r="S61" s="81"/>
      <c r="T61" s="269"/>
      <c r="U61" s="269"/>
      <c r="V61" s="269"/>
      <c r="W61" s="269"/>
      <c r="X61" s="261"/>
      <c r="Y61" s="216">
        <f t="shared" si="13"/>
        <v>0</v>
      </c>
      <c r="Z61" s="216"/>
    </row>
    <row r="62" spans="6:26" ht="15" thickBot="1" x14ac:dyDescent="0.35">
      <c r="G62" s="250" t="s">
        <v>260</v>
      </c>
      <c r="H62" s="184" t="s">
        <v>69</v>
      </c>
      <c r="I62" s="185" t="s">
        <v>237</v>
      </c>
      <c r="J62" s="186" t="s">
        <v>228</v>
      </c>
      <c r="K62" s="187" t="s">
        <v>204</v>
      </c>
      <c r="L62" s="187" t="s">
        <v>100</v>
      </c>
      <c r="M62" s="187" t="s">
        <v>205</v>
      </c>
      <c r="N62" s="187" t="s">
        <v>206</v>
      </c>
      <c r="O62" s="188" t="s">
        <v>27</v>
      </c>
      <c r="P62" s="188" t="s">
        <v>236</v>
      </c>
      <c r="Q62" s="189"/>
      <c r="R62" s="185" t="s">
        <v>41</v>
      </c>
      <c r="S62" s="230" t="s">
        <v>237</v>
      </c>
      <c r="T62" s="186" t="s">
        <v>228</v>
      </c>
      <c r="U62" s="187" t="s">
        <v>204</v>
      </c>
      <c r="V62" s="187" t="s">
        <v>100</v>
      </c>
      <c r="W62" s="187" t="s">
        <v>205</v>
      </c>
      <c r="X62" s="187" t="s">
        <v>206</v>
      </c>
      <c r="Y62" s="188" t="s">
        <v>27</v>
      </c>
      <c r="Z62" s="188" t="s">
        <v>236</v>
      </c>
    </row>
    <row r="63" spans="6:26" x14ac:dyDescent="0.3">
      <c r="G63" s="270" t="s">
        <v>212</v>
      </c>
      <c r="H63" s="231">
        <f t="shared" si="12"/>
        <v>2</v>
      </c>
      <c r="I63" s="29"/>
      <c r="O63" s="211">
        <f>(J63+K63)*$Y$3</f>
        <v>0</v>
      </c>
      <c r="P63" s="211"/>
      <c r="Q63" s="195"/>
      <c r="R63" s="70" t="s">
        <v>453</v>
      </c>
      <c r="S63" s="241" t="s">
        <v>217</v>
      </c>
      <c r="U63" s="241">
        <v>2</v>
      </c>
      <c r="V63" s="241">
        <v>1</v>
      </c>
      <c r="W63" s="241">
        <v>1</v>
      </c>
      <c r="Y63" s="211">
        <f t="shared" si="13"/>
        <v>1</v>
      </c>
      <c r="Z63" s="211"/>
    </row>
    <row r="64" spans="6:26" ht="15" thickBot="1" x14ac:dyDescent="0.35">
      <c r="G64" s="273" t="s">
        <v>173</v>
      </c>
      <c r="H64" s="225">
        <f t="shared" si="12"/>
        <v>1</v>
      </c>
      <c r="I64" s="328" t="s">
        <v>263</v>
      </c>
      <c r="J64" s="329"/>
      <c r="K64" s="329"/>
      <c r="L64" s="329"/>
      <c r="M64" s="329"/>
      <c r="N64" s="329"/>
      <c r="O64" s="232">
        <f>(J64+K64)*$Y$3</f>
        <v>0</v>
      </c>
      <c r="P64" s="232"/>
      <c r="Q64" s="226"/>
      <c r="R64" s="584" t="s">
        <v>453</v>
      </c>
      <c r="S64" s="328" t="s">
        <v>314</v>
      </c>
      <c r="T64" s="329"/>
      <c r="U64" s="329">
        <v>1</v>
      </c>
      <c r="V64" s="329">
        <v>1</v>
      </c>
      <c r="W64" s="329">
        <v>1</v>
      </c>
      <c r="X64" s="329">
        <v>1</v>
      </c>
      <c r="Y64" s="232">
        <f t="shared" si="13"/>
        <v>0.5</v>
      </c>
      <c r="Z64" s="232"/>
    </row>
    <row r="65" spans="7:26" x14ac:dyDescent="0.3">
      <c r="G65" s="270" t="s">
        <v>261</v>
      </c>
      <c r="H65" s="231">
        <f t="shared" si="12"/>
        <v>2</v>
      </c>
      <c r="I65" s="93" t="s">
        <v>185</v>
      </c>
      <c r="J65" s="271"/>
      <c r="K65" s="271">
        <v>1</v>
      </c>
      <c r="L65" s="271">
        <v>1</v>
      </c>
      <c r="M65" s="271">
        <v>1</v>
      </c>
      <c r="N65" s="271"/>
      <c r="O65" s="327">
        <f>(J65+K65)*$Y$3</f>
        <v>0.5</v>
      </c>
      <c r="P65" s="327">
        <v>1</v>
      </c>
      <c r="Q65" s="200"/>
      <c r="R65" s="70" t="s">
        <v>262</v>
      </c>
      <c r="S65" s="274" t="s">
        <v>379</v>
      </c>
      <c r="T65" s="274">
        <v>1</v>
      </c>
      <c r="U65" s="274"/>
      <c r="V65" s="274">
        <v>1</v>
      </c>
      <c r="W65" s="274">
        <v>1</v>
      </c>
      <c r="X65" s="274"/>
      <c r="Y65" s="233">
        <f t="shared" si="13"/>
        <v>0.5</v>
      </c>
      <c r="Z65" s="233"/>
    </row>
    <row r="66" spans="7:26" ht="15" thickBot="1" x14ac:dyDescent="0.35">
      <c r="G66" s="350" t="s">
        <v>465</v>
      </c>
      <c r="H66" s="225">
        <f t="shared" si="12"/>
        <v>1</v>
      </c>
      <c r="I66" s="328" t="s">
        <v>263</v>
      </c>
      <c r="J66" s="329"/>
      <c r="K66" s="329"/>
      <c r="L66" s="329"/>
      <c r="M66" s="329"/>
      <c r="N66" s="329"/>
      <c r="O66" s="330">
        <f>(J66+K66)*$Y$3</f>
        <v>0</v>
      </c>
      <c r="P66" s="330"/>
      <c r="Q66" s="331"/>
      <c r="R66" s="584" t="s">
        <v>264</v>
      </c>
      <c r="S66" s="583" t="s">
        <v>265</v>
      </c>
      <c r="T66" s="329"/>
      <c r="U66" s="329">
        <v>1</v>
      </c>
      <c r="V66" s="329"/>
      <c r="W66" s="329"/>
      <c r="X66" s="332">
        <v>1</v>
      </c>
      <c r="Y66" s="232">
        <f t="shared" si="13"/>
        <v>0.5</v>
      </c>
      <c r="Z66" s="232"/>
    </row>
    <row r="67" spans="7:26" x14ac:dyDescent="0.3">
      <c r="H67" s="241"/>
    </row>
    <row r="68" spans="7:26" x14ac:dyDescent="0.3">
      <c r="H68" s="241"/>
    </row>
    <row r="69" spans="7:26" x14ac:dyDescent="0.3">
      <c r="H69" s="241"/>
    </row>
    <row r="70" spans="7:26" x14ac:dyDescent="0.3">
      <c r="H70" s="241"/>
    </row>
    <row r="71" spans="7:26" x14ac:dyDescent="0.3">
      <c r="H71" s="241"/>
    </row>
    <row r="72" spans="7:26" ht="15" thickBot="1" x14ac:dyDescent="0.35"/>
    <row r="73" spans="7:26" ht="15" thickBot="1" x14ac:dyDescent="0.35">
      <c r="G73" s="250" t="s">
        <v>108</v>
      </c>
      <c r="H73" s="184" t="s">
        <v>69</v>
      </c>
      <c r="I73" s="185" t="s">
        <v>237</v>
      </c>
      <c r="J73" s="186" t="s">
        <v>228</v>
      </c>
      <c r="K73" s="187" t="s">
        <v>204</v>
      </c>
      <c r="L73" s="187" t="s">
        <v>100</v>
      </c>
      <c r="M73" s="187" t="s">
        <v>205</v>
      </c>
      <c r="N73" s="187" t="s">
        <v>206</v>
      </c>
      <c r="O73" s="188" t="s">
        <v>27</v>
      </c>
      <c r="P73" s="188" t="s">
        <v>236</v>
      </c>
      <c r="Q73" s="189"/>
      <c r="R73" s="185" t="s">
        <v>41</v>
      </c>
      <c r="S73" s="185" t="s">
        <v>237</v>
      </c>
      <c r="T73" s="186" t="s">
        <v>228</v>
      </c>
      <c r="U73" s="187" t="s">
        <v>204</v>
      </c>
      <c r="V73" s="187" t="s">
        <v>100</v>
      </c>
      <c r="W73" s="187" t="s">
        <v>205</v>
      </c>
      <c r="X73" s="187" t="s">
        <v>206</v>
      </c>
      <c r="Y73" s="188" t="s">
        <v>27</v>
      </c>
      <c r="Z73" s="188" t="s">
        <v>236</v>
      </c>
    </row>
    <row r="74" spans="7:26" ht="15" thickBot="1" x14ac:dyDescent="0.35">
      <c r="G74" s="264" t="s">
        <v>77</v>
      </c>
      <c r="H74" s="231">
        <f t="shared" ref="H74:H80" si="17">MAX(K74:N74)+MAX(U74:X74)</f>
        <v>2</v>
      </c>
      <c r="I74" s="266" t="s">
        <v>181</v>
      </c>
      <c r="J74" s="266"/>
      <c r="K74" s="266"/>
      <c r="L74" s="266"/>
      <c r="M74" s="266">
        <v>1</v>
      </c>
      <c r="N74" s="266">
        <v>1</v>
      </c>
      <c r="O74" s="216">
        <f t="shared" ref="O74:O80" si="18">(J74+K74)*$Y$3</f>
        <v>0</v>
      </c>
      <c r="P74" s="216"/>
      <c r="Q74" s="195"/>
      <c r="R74" s="70" t="s">
        <v>254</v>
      </c>
      <c r="S74" s="241" t="s">
        <v>255</v>
      </c>
      <c r="T74" s="241">
        <v>1</v>
      </c>
      <c r="V74" s="241">
        <v>1</v>
      </c>
      <c r="W74" s="241">
        <v>1</v>
      </c>
      <c r="Y74" s="216">
        <f>(T74+U74)*$Y$3</f>
        <v>0.5</v>
      </c>
      <c r="Z74" s="216"/>
    </row>
    <row r="75" spans="7:26" x14ac:dyDescent="0.3">
      <c r="G75" s="202" t="s">
        <v>250</v>
      </c>
      <c r="H75" s="210">
        <f t="shared" si="17"/>
        <v>1</v>
      </c>
      <c r="I75" s="266" t="s">
        <v>182</v>
      </c>
      <c r="J75" s="266"/>
      <c r="K75" s="266">
        <v>1</v>
      </c>
      <c r="L75" s="266">
        <v>1</v>
      </c>
      <c r="M75" s="266">
        <v>1</v>
      </c>
      <c r="N75" s="266"/>
      <c r="O75" s="216">
        <f t="shared" si="18"/>
        <v>0.5</v>
      </c>
      <c r="P75" s="216">
        <v>1</v>
      </c>
      <c r="Q75" s="195"/>
      <c r="R75" s="238"/>
      <c r="S75" s="256"/>
      <c r="T75" s="256"/>
      <c r="U75" s="256"/>
      <c r="V75" s="256"/>
      <c r="W75" s="256"/>
      <c r="Y75" s="216">
        <f>(T75+U75)*$Y$3</f>
        <v>0</v>
      </c>
      <c r="Z75" s="216"/>
    </row>
    <row r="76" spans="7:26" x14ac:dyDescent="0.3">
      <c r="G76" s="202">
        <f>SUM(H74:H78)</f>
        <v>4</v>
      </c>
      <c r="H76" s="210">
        <f t="shared" si="17"/>
        <v>1</v>
      </c>
      <c r="I76" s="266" t="s">
        <v>381</v>
      </c>
      <c r="J76" s="266"/>
      <c r="K76" s="266">
        <v>1</v>
      </c>
      <c r="L76" s="266"/>
      <c r="M76" s="266"/>
      <c r="N76" s="266"/>
      <c r="O76" s="216">
        <f t="shared" si="18"/>
        <v>0.5</v>
      </c>
      <c r="P76" s="216"/>
      <c r="Q76" s="195"/>
      <c r="R76" s="255"/>
      <c r="Y76" s="216">
        <f>SUM(T76:U76)*$Y$3</f>
        <v>0</v>
      </c>
      <c r="Z76" s="216"/>
    </row>
    <row r="77" spans="7:26" x14ac:dyDescent="0.3">
      <c r="G77" s="255"/>
      <c r="H77" s="210">
        <f t="shared" si="17"/>
        <v>0</v>
      </c>
      <c r="I77" s="266"/>
      <c r="J77" s="266"/>
      <c r="K77" s="266"/>
      <c r="L77" s="266"/>
      <c r="M77" s="266"/>
      <c r="N77" s="266"/>
      <c r="O77" s="216">
        <f t="shared" si="18"/>
        <v>0</v>
      </c>
      <c r="P77" s="216"/>
      <c r="Q77" s="195"/>
      <c r="R77" s="255"/>
      <c r="Y77" s="216">
        <f>SUM(T77:U77)*$Y$3</f>
        <v>0</v>
      </c>
      <c r="Z77" s="216"/>
    </row>
    <row r="78" spans="7:26" ht="15" thickBot="1" x14ac:dyDescent="0.35">
      <c r="G78" s="255"/>
      <c r="H78" s="210">
        <f t="shared" si="17"/>
        <v>0</v>
      </c>
      <c r="I78" s="266"/>
      <c r="J78" s="266"/>
      <c r="K78" s="266"/>
      <c r="L78" s="266"/>
      <c r="M78" s="266"/>
      <c r="N78" s="266"/>
      <c r="O78" s="234">
        <f t="shared" si="18"/>
        <v>0</v>
      </c>
      <c r="P78" s="234"/>
      <c r="Q78" s="195"/>
      <c r="R78" s="260"/>
      <c r="Y78" s="234">
        <f>SUM(T78:U78)*$Y$3</f>
        <v>0</v>
      </c>
      <c r="Z78" s="234"/>
    </row>
    <row r="79" spans="7:26" x14ac:dyDescent="0.3">
      <c r="G79" s="270" t="s">
        <v>251</v>
      </c>
      <c r="H79" s="231">
        <f t="shared" si="17"/>
        <v>0</v>
      </c>
      <c r="I79" s="93"/>
      <c r="J79" s="271"/>
      <c r="K79" s="271"/>
      <c r="L79" s="271"/>
      <c r="M79" s="271"/>
      <c r="N79" s="271"/>
      <c r="O79" s="233">
        <f t="shared" si="18"/>
        <v>0</v>
      </c>
      <c r="P79" s="233"/>
      <c r="Q79" s="200"/>
      <c r="R79" s="70"/>
      <c r="S79" s="274"/>
      <c r="T79" s="274"/>
      <c r="U79" s="274"/>
      <c r="V79" s="274"/>
      <c r="W79" s="274"/>
      <c r="X79" s="274"/>
      <c r="Y79" s="233">
        <f>(T79+U79)*$Y$3</f>
        <v>0</v>
      </c>
      <c r="Z79" s="233"/>
    </row>
    <row r="80" spans="7:26" ht="15" thickBot="1" x14ac:dyDescent="0.35">
      <c r="G80" s="275" t="s">
        <v>173</v>
      </c>
      <c r="H80" s="225">
        <f t="shared" si="17"/>
        <v>0</v>
      </c>
      <c r="I80" s="30"/>
      <c r="J80" s="261"/>
      <c r="K80" s="261"/>
      <c r="L80" s="261"/>
      <c r="M80" s="261"/>
      <c r="N80" s="261"/>
      <c r="O80" s="232">
        <f t="shared" si="18"/>
        <v>0</v>
      </c>
      <c r="P80" s="232"/>
      <c r="Q80" s="226"/>
      <c r="R80" s="260"/>
      <c r="S80" s="261"/>
      <c r="T80" s="261"/>
      <c r="U80" s="261"/>
      <c r="V80" s="261"/>
      <c r="W80" s="261"/>
      <c r="X80" s="261"/>
      <c r="Y80" s="232">
        <f>(T80+U80)*$Y$3</f>
        <v>0</v>
      </c>
      <c r="Z80" s="232"/>
    </row>
    <row r="81" spans="7:26" x14ac:dyDescent="0.3">
      <c r="H81" s="241"/>
      <c r="I81" s="253"/>
      <c r="J81" s="253"/>
      <c r="K81" s="253"/>
      <c r="L81" s="253"/>
      <c r="M81" s="253"/>
      <c r="N81" s="253"/>
      <c r="O81" s="424"/>
      <c r="P81" s="424"/>
      <c r="Q81" s="98"/>
      <c r="R81" s="253"/>
      <c r="S81" s="253"/>
      <c r="T81" s="253"/>
      <c r="U81" s="253"/>
      <c r="V81" s="253"/>
      <c r="W81" s="253"/>
      <c r="X81" s="253"/>
      <c r="Y81" s="424"/>
      <c r="Z81" s="424"/>
    </row>
    <row r="82" spans="7:26" ht="15" thickBot="1" x14ac:dyDescent="0.35"/>
    <row r="83" spans="7:26" ht="15" thickBot="1" x14ac:dyDescent="0.35">
      <c r="G83" s="250" t="s">
        <v>108</v>
      </c>
      <c r="H83" s="184" t="s">
        <v>69</v>
      </c>
      <c r="I83" s="185" t="s">
        <v>237</v>
      </c>
      <c r="J83" s="186" t="s">
        <v>228</v>
      </c>
      <c r="K83" s="187" t="s">
        <v>204</v>
      </c>
      <c r="L83" s="187" t="s">
        <v>100</v>
      </c>
      <c r="M83" s="187" t="s">
        <v>205</v>
      </c>
      <c r="N83" s="187" t="s">
        <v>206</v>
      </c>
      <c r="O83" s="188" t="s">
        <v>27</v>
      </c>
      <c r="P83" s="188" t="s">
        <v>236</v>
      </c>
      <c r="Q83" s="189"/>
      <c r="R83" s="185" t="s">
        <v>41</v>
      </c>
      <c r="S83" s="185" t="s">
        <v>237</v>
      </c>
      <c r="T83" s="186" t="s">
        <v>228</v>
      </c>
      <c r="U83" s="187" t="s">
        <v>204</v>
      </c>
      <c r="V83" s="187" t="s">
        <v>100</v>
      </c>
      <c r="W83" s="187" t="s">
        <v>205</v>
      </c>
      <c r="X83" s="187" t="s">
        <v>206</v>
      </c>
      <c r="Y83" s="188" t="s">
        <v>27</v>
      </c>
      <c r="Z83" s="188" t="s">
        <v>236</v>
      </c>
    </row>
    <row r="84" spans="7:26" ht="15" thickBot="1" x14ac:dyDescent="0.35">
      <c r="G84" s="264" t="s">
        <v>266</v>
      </c>
      <c r="H84" s="231">
        <f>MAX(K84:N84)+MAX(U84:X84)</f>
        <v>0</v>
      </c>
      <c r="I84" s="266"/>
      <c r="J84" s="266"/>
      <c r="K84" s="266"/>
      <c r="L84" s="266"/>
      <c r="M84" s="266"/>
      <c r="N84" s="266"/>
      <c r="O84" s="216">
        <f t="shared" ref="O84:O90" si="19">(J84+K84)*$Y$3</f>
        <v>0</v>
      </c>
      <c r="P84" s="216"/>
      <c r="Q84" s="195"/>
      <c r="R84" s="70"/>
      <c r="Y84" s="216">
        <f>(T84+U84)*$Y$3</f>
        <v>0</v>
      </c>
      <c r="Z84" s="216"/>
    </row>
    <row r="85" spans="7:26" x14ac:dyDescent="0.3">
      <c r="G85" s="202" t="s">
        <v>250</v>
      </c>
      <c r="H85" s="210">
        <f>MAX(K85:N85)+MAX(U85:X85)</f>
        <v>0</v>
      </c>
      <c r="I85" s="266"/>
      <c r="J85" s="266"/>
      <c r="K85" s="266"/>
      <c r="L85" s="266"/>
      <c r="M85" s="266"/>
      <c r="N85" s="266"/>
      <c r="O85" s="216">
        <f t="shared" si="19"/>
        <v>0</v>
      </c>
      <c r="P85" s="216"/>
      <c r="Q85" s="195"/>
      <c r="R85" s="238"/>
      <c r="S85" s="256"/>
      <c r="T85" s="256"/>
      <c r="U85" s="256"/>
      <c r="V85" s="256"/>
      <c r="W85" s="256"/>
      <c r="Y85" s="216">
        <f>(T85+U85)*$Y$3</f>
        <v>0</v>
      </c>
      <c r="Z85" s="216"/>
    </row>
    <row r="86" spans="7:26" x14ac:dyDescent="0.3">
      <c r="G86" s="202">
        <f>SUM(H84:H88)</f>
        <v>0</v>
      </c>
      <c r="H86" s="210">
        <f>MAX(K86:N86)+MAX(U86:X86)</f>
        <v>0</v>
      </c>
      <c r="I86" s="266"/>
      <c r="J86" s="266"/>
      <c r="K86" s="266"/>
      <c r="L86" s="266"/>
      <c r="M86" s="266"/>
      <c r="N86" s="266"/>
      <c r="O86" s="216">
        <f t="shared" si="19"/>
        <v>0</v>
      </c>
      <c r="P86" s="216"/>
      <c r="Q86" s="195"/>
      <c r="R86" s="255"/>
      <c r="Y86" s="216">
        <f>SUM(T86:U86)*$Y$3</f>
        <v>0</v>
      </c>
      <c r="Z86" s="216"/>
    </row>
    <row r="87" spans="7:26" x14ac:dyDescent="0.3">
      <c r="G87" s="255"/>
      <c r="H87" s="210">
        <f>MAX(K86:N86)+MAX(U86:X86)</f>
        <v>0</v>
      </c>
      <c r="I87" s="266"/>
      <c r="J87" s="266"/>
      <c r="K87" s="266"/>
      <c r="L87" s="266"/>
      <c r="M87" s="266"/>
      <c r="N87" s="266"/>
      <c r="O87" s="216">
        <f t="shared" si="19"/>
        <v>0</v>
      </c>
      <c r="P87" s="216"/>
      <c r="Q87" s="195"/>
      <c r="R87" s="255"/>
      <c r="Y87" s="216">
        <f>SUM(T87:U87)*$Y$3</f>
        <v>0</v>
      </c>
      <c r="Z87" s="216"/>
    </row>
    <row r="88" spans="7:26" ht="15" thickBot="1" x14ac:dyDescent="0.35">
      <c r="G88" s="255"/>
      <c r="H88" s="210">
        <f>MAX(K87:N87)+MAX(U87:X87)</f>
        <v>0</v>
      </c>
      <c r="I88" s="266"/>
      <c r="J88" s="266"/>
      <c r="K88" s="266"/>
      <c r="L88" s="266"/>
      <c r="M88" s="266"/>
      <c r="N88" s="266"/>
      <c r="O88" s="234">
        <f t="shared" si="19"/>
        <v>0</v>
      </c>
      <c r="P88" s="234"/>
      <c r="Q88" s="195"/>
      <c r="R88" s="260"/>
      <c r="Y88" s="234">
        <f>SUM(T88:U88)*$Y$3</f>
        <v>0</v>
      </c>
      <c r="Z88" s="234"/>
    </row>
    <row r="89" spans="7:26" x14ac:dyDescent="0.3">
      <c r="G89" s="270" t="s">
        <v>251</v>
      </c>
      <c r="H89" s="231">
        <f>MAX(K89:N89)+MAX(U89:X89)</f>
        <v>0</v>
      </c>
      <c r="I89" s="93"/>
      <c r="J89" s="271"/>
      <c r="K89" s="271"/>
      <c r="L89" s="271"/>
      <c r="M89" s="271"/>
      <c r="N89" s="271"/>
      <c r="O89" s="233">
        <f t="shared" si="19"/>
        <v>0</v>
      </c>
      <c r="P89" s="233"/>
      <c r="Q89" s="200"/>
      <c r="R89" s="70"/>
      <c r="S89" s="274"/>
      <c r="T89" s="274"/>
      <c r="U89" s="274"/>
      <c r="V89" s="274"/>
      <c r="W89" s="274"/>
      <c r="X89" s="274"/>
      <c r="Y89" s="233">
        <f>(T89+U89)*$Y$3</f>
        <v>0</v>
      </c>
      <c r="Z89" s="233"/>
    </row>
    <row r="90" spans="7:26" ht="15" thickBot="1" x14ac:dyDescent="0.35">
      <c r="G90" s="275" t="s">
        <v>173</v>
      </c>
      <c r="H90" s="225">
        <f>MAX(K90:N90)+MAX(U90:X90)</f>
        <v>0</v>
      </c>
      <c r="I90" s="30"/>
      <c r="J90" s="261"/>
      <c r="K90" s="261"/>
      <c r="L90" s="261"/>
      <c r="M90" s="261"/>
      <c r="N90" s="261"/>
      <c r="O90" s="232">
        <f t="shared" si="19"/>
        <v>0</v>
      </c>
      <c r="P90" s="232"/>
      <c r="Q90" s="226"/>
      <c r="R90" s="260"/>
      <c r="S90" s="261"/>
      <c r="T90" s="261"/>
      <c r="U90" s="261"/>
      <c r="V90" s="261"/>
      <c r="W90" s="261"/>
      <c r="X90" s="261"/>
      <c r="Y90" s="232">
        <f>(T90+U90)*$Y$3</f>
        <v>0</v>
      </c>
      <c r="Z90" s="232"/>
    </row>
    <row r="93" spans="7:26" x14ac:dyDescent="0.3">
      <c r="H93" s="241"/>
    </row>
    <row r="94" spans="7:26" x14ac:dyDescent="0.3">
      <c r="H94" s="241"/>
    </row>
    <row r="95" spans="7:26" x14ac:dyDescent="0.3">
      <c r="H95" s="241"/>
    </row>
    <row r="96" spans="7:26" x14ac:dyDescent="0.3">
      <c r="H96" s="241"/>
    </row>
    <row r="97" spans="8:8" x14ac:dyDescent="0.3">
      <c r="H97" s="241"/>
    </row>
    <row r="98" spans="8:8" x14ac:dyDescent="0.3">
      <c r="H98" s="241"/>
    </row>
    <row r="99" spans="8:8" x14ac:dyDescent="0.3">
      <c r="H99" s="241"/>
    </row>
    <row r="100" spans="8:8" x14ac:dyDescent="0.3">
      <c r="H100" s="241"/>
    </row>
    <row r="101" spans="8:8" x14ac:dyDescent="0.3">
      <c r="H101" s="241"/>
    </row>
    <row r="102" spans="8:8" x14ac:dyDescent="0.3">
      <c r="H102" s="241"/>
    </row>
    <row r="103" spans="8:8" x14ac:dyDescent="0.3">
      <c r="H103" s="241"/>
    </row>
    <row r="104" spans="8:8" x14ac:dyDescent="0.3">
      <c r="H104" s="241"/>
    </row>
  </sheetData>
  <mergeCells count="1">
    <mergeCell ref="T4:U4"/>
  </mergeCells>
  <conditionalFormatting sqref="D40">
    <cfRule type="cellIs" dxfId="38" priority="4" operator="equal">
      <formula>0</formula>
    </cfRule>
    <cfRule type="cellIs" dxfId="37" priority="5" operator="lessThan">
      <formula>0</formula>
    </cfRule>
    <cfRule type="cellIs" dxfId="36" priority="6" operator="greaterThan">
      <formula>0</formula>
    </cfRule>
  </conditionalFormatting>
  <conditionalFormatting sqref="D2">
    <cfRule type="cellIs" dxfId="35" priority="1" operator="lessThan">
      <formula>0</formula>
    </cfRule>
    <cfRule type="cellIs" dxfId="34" priority="2" operator="equal">
      <formula>0</formula>
    </cfRule>
    <cfRule type="cellIs" dxfId="33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CCFF"/>
  </sheetPr>
  <dimension ref="A1:AC95"/>
  <sheetViews>
    <sheetView zoomScale="70" zoomScaleNormal="70" workbookViewId="0">
      <selection activeCell="C7" sqref="C7"/>
    </sheetView>
  </sheetViews>
  <sheetFormatPr defaultColWidth="9.109375" defaultRowHeight="14.4" x14ac:dyDescent="0.3"/>
  <cols>
    <col min="1" max="1" width="9.109375" style="241"/>
    <col min="2" max="2" width="10.6640625" style="241" customWidth="1"/>
    <col min="3" max="3" width="19.88671875" style="241" customWidth="1"/>
    <col min="4" max="4" width="6.33203125" style="241" customWidth="1"/>
    <col min="5" max="6" width="4.109375" style="241" customWidth="1"/>
    <col min="7" max="7" width="19" style="241" customWidth="1"/>
    <col min="8" max="8" width="5.5546875" style="52" customWidth="1"/>
    <col min="9" max="9" width="27.5546875" style="241" customWidth="1"/>
    <col min="10" max="10" width="5.88671875" style="241" customWidth="1"/>
    <col min="11" max="11" width="6.44140625" style="241" customWidth="1"/>
    <col min="12" max="12" width="6.5546875" style="241" customWidth="1"/>
    <col min="13" max="13" width="6.44140625" style="241" customWidth="1"/>
    <col min="14" max="14" width="6.109375" style="241" customWidth="1"/>
    <col min="15" max="15" width="9.109375" style="241"/>
    <col min="16" max="16" width="6.33203125" style="241" customWidth="1"/>
    <col min="17" max="17" width="3.44140625" style="241" customWidth="1"/>
    <col min="18" max="18" width="13.6640625" style="241" customWidth="1"/>
    <col min="19" max="19" width="25" style="241" customWidth="1"/>
    <col min="20" max="24" width="6" style="241" customWidth="1"/>
    <col min="25" max="25" width="9.109375" style="241"/>
    <col min="26" max="26" width="6.5546875" style="241" customWidth="1"/>
    <col min="27" max="16384" width="9.109375" style="241"/>
  </cols>
  <sheetData>
    <row r="1" spans="1:26" ht="15" thickBot="1" x14ac:dyDescent="0.35"/>
    <row r="2" spans="1:26" x14ac:dyDescent="0.3">
      <c r="C2" s="242" t="s">
        <v>28</v>
      </c>
      <c r="D2" s="242">
        <f>D44+D3+D4</f>
        <v>34.9</v>
      </c>
      <c r="I2" s="243" t="s">
        <v>33</v>
      </c>
      <c r="J2" s="244">
        <f t="shared" ref="J2:P2" si="0">J6+T6</f>
        <v>39</v>
      </c>
      <c r="K2" s="244">
        <f t="shared" si="0"/>
        <v>23</v>
      </c>
      <c r="L2" s="244">
        <f t="shared" si="0"/>
        <v>20</v>
      </c>
      <c r="M2" s="244">
        <f t="shared" si="0"/>
        <v>20</v>
      </c>
      <c r="N2" s="244">
        <f t="shared" si="0"/>
        <v>10</v>
      </c>
      <c r="O2" s="244">
        <f t="shared" si="0"/>
        <v>31</v>
      </c>
      <c r="P2" s="244">
        <f t="shared" si="0"/>
        <v>0</v>
      </c>
      <c r="W2" s="168" t="s">
        <v>229</v>
      </c>
      <c r="X2" s="169"/>
      <c r="Y2" s="170">
        <v>0.2</v>
      </c>
      <c r="Z2" s="171"/>
    </row>
    <row r="3" spans="1:26" ht="15" thickBot="1" x14ac:dyDescent="0.35">
      <c r="C3" s="245" t="s">
        <v>154</v>
      </c>
      <c r="D3" s="245"/>
      <c r="E3" s="241" t="s">
        <v>271</v>
      </c>
      <c r="W3" s="172" t="s">
        <v>227</v>
      </c>
      <c r="X3" s="173"/>
      <c r="Y3" s="174">
        <v>0.5</v>
      </c>
    </row>
    <row r="4" spans="1:26" ht="15" thickBot="1" x14ac:dyDescent="0.35">
      <c r="C4" s="245" t="s">
        <v>155</v>
      </c>
      <c r="D4" s="245"/>
      <c r="I4" s="246" t="s">
        <v>15</v>
      </c>
      <c r="J4" s="246"/>
      <c r="K4" s="246"/>
      <c r="Q4" s="99"/>
      <c r="R4" s="247" t="s">
        <v>11</v>
      </c>
      <c r="S4" s="247"/>
      <c r="T4" s="587" t="s">
        <v>10</v>
      </c>
      <c r="U4" s="587"/>
    </row>
    <row r="5" spans="1:26" ht="15.6" thickTop="1" thickBot="1" x14ac:dyDescent="0.35">
      <c r="G5" s="175" t="s">
        <v>235</v>
      </c>
      <c r="H5" s="176">
        <f>SUM(H8:H95)</f>
        <v>44</v>
      </c>
      <c r="I5" s="246" t="s">
        <v>8</v>
      </c>
      <c r="J5" s="177" t="s">
        <v>228</v>
      </c>
      <c r="K5" s="248" t="s">
        <v>204</v>
      </c>
      <c r="L5" s="248" t="s">
        <v>100</v>
      </c>
      <c r="M5" s="248" t="s">
        <v>205</v>
      </c>
      <c r="N5" s="248" t="s">
        <v>206</v>
      </c>
      <c r="O5" s="248" t="s">
        <v>27</v>
      </c>
      <c r="P5" s="248" t="s">
        <v>236</v>
      </c>
      <c r="Q5" s="99"/>
      <c r="R5" s="247" t="s">
        <v>8</v>
      </c>
      <c r="S5" s="247"/>
      <c r="T5" s="178" t="s">
        <v>228</v>
      </c>
      <c r="U5" s="249" t="s">
        <v>204</v>
      </c>
      <c r="V5" s="249" t="s">
        <v>100</v>
      </c>
      <c r="W5" s="249" t="s">
        <v>205</v>
      </c>
      <c r="X5" s="249" t="s">
        <v>206</v>
      </c>
      <c r="Y5" s="249" t="s">
        <v>27</v>
      </c>
      <c r="Z5" s="248" t="s">
        <v>236</v>
      </c>
    </row>
    <row r="6" spans="1:26" ht="15" thickBot="1" x14ac:dyDescent="0.35">
      <c r="A6" s="179"/>
      <c r="B6" s="274" t="s">
        <v>0</v>
      </c>
      <c r="C6" s="274" t="s">
        <v>4</v>
      </c>
      <c r="D6" s="272" t="s">
        <v>5</v>
      </c>
      <c r="G6" s="180" t="s">
        <v>213</v>
      </c>
      <c r="H6" s="181">
        <f>H5*50</f>
        <v>2200</v>
      </c>
      <c r="J6" s="244">
        <f t="shared" ref="J6:O6" si="1">SUM(J10:J166)</f>
        <v>30</v>
      </c>
      <c r="K6" s="244">
        <f t="shared" si="1"/>
        <v>15</v>
      </c>
      <c r="L6" s="244">
        <f t="shared" si="1"/>
        <v>17</v>
      </c>
      <c r="M6" s="244">
        <f t="shared" si="1"/>
        <v>17</v>
      </c>
      <c r="N6" s="244">
        <f t="shared" si="1"/>
        <v>8</v>
      </c>
      <c r="O6" s="244">
        <f t="shared" si="1"/>
        <v>22.5</v>
      </c>
      <c r="P6" s="244"/>
      <c r="Q6" s="99"/>
      <c r="T6" s="244">
        <f t="shared" ref="T6:Y6" si="2">SUM(T14:T166)</f>
        <v>9</v>
      </c>
      <c r="U6" s="244">
        <f t="shared" si="2"/>
        <v>8</v>
      </c>
      <c r="V6" s="244">
        <f t="shared" si="2"/>
        <v>3</v>
      </c>
      <c r="W6" s="244">
        <f t="shared" si="2"/>
        <v>3</v>
      </c>
      <c r="X6" s="244">
        <f t="shared" si="2"/>
        <v>2</v>
      </c>
      <c r="Y6" s="244">
        <f t="shared" si="2"/>
        <v>8.5</v>
      </c>
      <c r="Z6" s="244"/>
    </row>
    <row r="7" spans="1:26" ht="15.6" thickTop="1" thickBot="1" x14ac:dyDescent="0.35">
      <c r="A7" s="182"/>
      <c r="B7" s="241" t="s">
        <v>1</v>
      </c>
      <c r="C7" t="s">
        <v>501</v>
      </c>
      <c r="D7" s="254">
        <v>12</v>
      </c>
      <c r="Q7" s="99"/>
    </row>
    <row r="8" spans="1:26" ht="15" thickBot="1" x14ac:dyDescent="0.35">
      <c r="A8" s="29"/>
      <c r="B8" s="241" t="s">
        <v>29</v>
      </c>
      <c r="C8" s="241" t="s">
        <v>121</v>
      </c>
      <c r="D8" s="254">
        <v>13</v>
      </c>
      <c r="G8" s="183" t="s">
        <v>111</v>
      </c>
      <c r="H8" s="184" t="s">
        <v>69</v>
      </c>
      <c r="I8" s="185" t="s">
        <v>237</v>
      </c>
      <c r="J8" s="186" t="s">
        <v>228</v>
      </c>
      <c r="K8" s="187" t="s">
        <v>204</v>
      </c>
      <c r="L8" s="187" t="s">
        <v>100</v>
      </c>
      <c r="M8" s="187" t="s">
        <v>205</v>
      </c>
      <c r="N8" s="187" t="s">
        <v>206</v>
      </c>
      <c r="O8" s="188" t="s">
        <v>27</v>
      </c>
      <c r="P8" s="188" t="s">
        <v>236</v>
      </c>
      <c r="Q8" s="189"/>
      <c r="R8" s="185" t="s">
        <v>41</v>
      </c>
      <c r="S8" s="185" t="s">
        <v>237</v>
      </c>
      <c r="T8" s="186" t="s">
        <v>228</v>
      </c>
      <c r="U8" s="187" t="s">
        <v>204</v>
      </c>
      <c r="V8" s="187" t="s">
        <v>100</v>
      </c>
      <c r="W8" s="187" t="s">
        <v>205</v>
      </c>
      <c r="X8" s="187" t="s">
        <v>206</v>
      </c>
      <c r="Y8" s="188" t="s">
        <v>27</v>
      </c>
      <c r="Z8" s="188" t="s">
        <v>236</v>
      </c>
    </row>
    <row r="9" spans="1:26" ht="15" thickBot="1" x14ac:dyDescent="0.35">
      <c r="A9" s="29"/>
      <c r="B9" s="241" t="s">
        <v>30</v>
      </c>
      <c r="C9" s="241" t="s">
        <v>122</v>
      </c>
      <c r="D9" s="254">
        <v>16</v>
      </c>
      <c r="G9" s="264" t="s">
        <v>238</v>
      </c>
      <c r="H9" s="190" t="s">
        <v>239</v>
      </c>
      <c r="I9" s="461" t="s">
        <v>410</v>
      </c>
      <c r="J9" s="192"/>
      <c r="K9" s="192"/>
      <c r="L9" s="192"/>
      <c r="M9" s="192"/>
      <c r="N9" s="193"/>
      <c r="O9" s="194"/>
      <c r="P9" s="194"/>
      <c r="Q9" s="195"/>
      <c r="R9" s="191"/>
      <c r="S9" s="461" t="s">
        <v>410</v>
      </c>
      <c r="T9" s="192"/>
      <c r="U9" s="192"/>
      <c r="V9" s="192"/>
      <c r="W9" s="192"/>
      <c r="X9" s="193"/>
      <c r="Y9" s="194"/>
      <c r="Z9" s="194"/>
    </row>
    <row r="10" spans="1:26" x14ac:dyDescent="0.3">
      <c r="A10" s="29"/>
      <c r="B10" s="241" t="s">
        <v>2</v>
      </c>
      <c r="C10" s="241" t="s">
        <v>6</v>
      </c>
      <c r="D10" s="254">
        <v>0</v>
      </c>
      <c r="G10" s="255" t="s">
        <v>240</v>
      </c>
      <c r="H10" s="196" t="s">
        <v>239</v>
      </c>
      <c r="I10" s="197"/>
      <c r="J10" s="26"/>
      <c r="K10" s="26"/>
      <c r="L10" s="26"/>
      <c r="M10" s="26"/>
      <c r="N10" s="39"/>
      <c r="O10" s="198"/>
      <c r="P10" s="198"/>
      <c r="Q10" s="195"/>
      <c r="R10" s="197"/>
      <c r="S10" s="197"/>
      <c r="T10" s="26"/>
      <c r="U10" s="26"/>
      <c r="V10" s="26"/>
      <c r="W10" s="26"/>
      <c r="X10" s="39"/>
      <c r="Y10" s="198"/>
      <c r="Z10" s="198"/>
    </row>
    <row r="11" spans="1:26" x14ac:dyDescent="0.3">
      <c r="A11" s="29"/>
      <c r="B11" s="241" t="s">
        <v>3</v>
      </c>
      <c r="C11" s="241" t="s">
        <v>6</v>
      </c>
      <c r="D11" s="254">
        <v>0</v>
      </c>
      <c r="G11" s="255"/>
      <c r="H11" s="196" t="s">
        <v>239</v>
      </c>
      <c r="I11" s="197"/>
      <c r="J11" s="26"/>
      <c r="K11" s="26"/>
      <c r="L11" s="26"/>
      <c r="M11" s="26"/>
      <c r="N11" s="39"/>
      <c r="O11" s="198"/>
      <c r="P11" s="198"/>
      <c r="Q11" s="195"/>
      <c r="R11" s="197"/>
      <c r="S11" s="197"/>
      <c r="T11" s="26"/>
      <c r="U11" s="26"/>
      <c r="V11" s="26"/>
      <c r="W11" s="26"/>
      <c r="X11" s="39"/>
      <c r="Y11" s="198"/>
      <c r="Z11" s="198"/>
    </row>
    <row r="12" spans="1:26" ht="15" thickBot="1" x14ac:dyDescent="0.35">
      <c r="A12" s="29"/>
      <c r="D12" s="254"/>
      <c r="G12" s="255"/>
      <c r="H12" s="196" t="s">
        <v>239</v>
      </c>
      <c r="I12" s="197"/>
      <c r="J12" s="26"/>
      <c r="K12" s="26"/>
      <c r="L12" s="26"/>
      <c r="M12" s="26"/>
      <c r="N12" s="39"/>
      <c r="O12" s="198"/>
      <c r="P12" s="198"/>
      <c r="Q12" s="195"/>
      <c r="R12" s="197"/>
      <c r="S12" s="197"/>
      <c r="T12" s="26"/>
      <c r="U12" s="26"/>
      <c r="V12" s="26"/>
      <c r="W12" s="26"/>
      <c r="X12" s="39"/>
      <c r="Y12" s="198"/>
      <c r="Z12" s="198"/>
    </row>
    <row r="13" spans="1:26" ht="15" thickBot="1" x14ac:dyDescent="0.35">
      <c r="A13" s="29"/>
      <c r="B13" s="241" t="s">
        <v>123</v>
      </c>
      <c r="D13" s="254"/>
      <c r="G13" s="250" t="s">
        <v>252</v>
      </c>
      <c r="H13" s="184" t="s">
        <v>69</v>
      </c>
      <c r="I13" s="185" t="s">
        <v>237</v>
      </c>
      <c r="J13" s="186" t="s">
        <v>228</v>
      </c>
      <c r="K13" s="187" t="s">
        <v>204</v>
      </c>
      <c r="L13" s="187" t="s">
        <v>100</v>
      </c>
      <c r="M13" s="187" t="s">
        <v>205</v>
      </c>
      <c r="N13" s="187" t="s">
        <v>206</v>
      </c>
      <c r="O13" s="188" t="s">
        <v>27</v>
      </c>
      <c r="P13" s="188" t="s">
        <v>236</v>
      </c>
      <c r="Q13" s="189"/>
      <c r="R13" s="185" t="s">
        <v>41</v>
      </c>
      <c r="S13" s="185" t="s">
        <v>237</v>
      </c>
      <c r="T13" s="186" t="s">
        <v>228</v>
      </c>
      <c r="U13" s="187" t="s">
        <v>204</v>
      </c>
      <c r="V13" s="187" t="s">
        <v>100</v>
      </c>
      <c r="W13" s="187" t="s">
        <v>205</v>
      </c>
      <c r="X13" s="187" t="s">
        <v>206</v>
      </c>
      <c r="Y13" s="188" t="s">
        <v>27</v>
      </c>
      <c r="Z13" s="188" t="s">
        <v>236</v>
      </c>
    </row>
    <row r="14" spans="1:26" ht="15" thickBot="1" x14ac:dyDescent="0.35">
      <c r="A14" s="29"/>
      <c r="C14" s="258" t="s">
        <v>7</v>
      </c>
      <c r="D14" s="199">
        <f>SUM(D7:D13)</f>
        <v>41</v>
      </c>
      <c r="G14" s="252" t="s">
        <v>272</v>
      </c>
      <c r="H14" s="118" t="s">
        <v>239</v>
      </c>
      <c r="I14" s="539" t="s">
        <v>496</v>
      </c>
      <c r="J14" s="540"/>
      <c r="K14" s="540"/>
      <c r="L14" s="540">
        <v>1</v>
      </c>
      <c r="M14" s="540">
        <v>1</v>
      </c>
      <c r="N14" s="153"/>
      <c r="O14" s="156"/>
      <c r="P14" s="156"/>
      <c r="Q14" s="200"/>
      <c r="R14" s="156"/>
      <c r="S14" s="155"/>
      <c r="T14" s="137"/>
      <c r="U14" s="137"/>
      <c r="V14" s="137"/>
      <c r="W14" s="137"/>
      <c r="X14" s="153"/>
      <c r="Y14" s="156"/>
      <c r="Z14" s="156"/>
    </row>
    <row r="15" spans="1:26" ht="15.6" thickTop="1" thickBot="1" x14ac:dyDescent="0.35">
      <c r="A15" s="30"/>
      <c r="B15" s="261"/>
      <c r="C15" s="261"/>
      <c r="D15" s="262"/>
      <c r="G15" s="202" t="s">
        <v>242</v>
      </c>
      <c r="H15" s="239" t="s">
        <v>239</v>
      </c>
      <c r="I15" s="541" t="s">
        <v>343</v>
      </c>
      <c r="J15" s="542"/>
      <c r="K15" s="542"/>
      <c r="L15" s="542">
        <v>2</v>
      </c>
      <c r="M15" s="542">
        <v>2</v>
      </c>
      <c r="N15" s="206"/>
      <c r="O15" s="207"/>
      <c r="P15" s="207"/>
      <c r="Q15" s="208"/>
      <c r="R15" s="304"/>
      <c r="S15" s="306"/>
      <c r="T15" s="236"/>
      <c r="U15" s="236"/>
      <c r="V15" s="236"/>
      <c r="W15" s="236"/>
      <c r="X15" s="106"/>
      <c r="Y15" s="207"/>
      <c r="Z15" s="207"/>
    </row>
    <row r="16" spans="1:26" ht="15" thickBot="1" x14ac:dyDescent="0.35">
      <c r="G16" s="202">
        <f>SUM(H16:H32)</f>
        <v>19</v>
      </c>
      <c r="H16" s="231">
        <f>MAX(K16:N16)+MAX(U16:X16)</f>
        <v>2</v>
      </c>
      <c r="I16" s="271" t="s">
        <v>89</v>
      </c>
      <c r="J16" s="271"/>
      <c r="K16" s="271"/>
      <c r="L16" s="271"/>
      <c r="M16" s="271">
        <v>1</v>
      </c>
      <c r="N16" s="271">
        <v>2</v>
      </c>
      <c r="O16" s="211">
        <f>(J16+K16)*$Y$3</f>
        <v>0</v>
      </c>
      <c r="P16" s="211"/>
      <c r="Q16" s="293"/>
      <c r="R16" s="340" t="s">
        <v>85</v>
      </c>
      <c r="S16" s="316" t="s">
        <v>168</v>
      </c>
      <c r="T16" s="317">
        <v>1</v>
      </c>
      <c r="U16" s="317"/>
      <c r="V16" s="317"/>
      <c r="W16" s="317"/>
      <c r="X16" s="318"/>
      <c r="Y16" s="288">
        <f>(T16+U16)*$Y$3</f>
        <v>0.5</v>
      </c>
      <c r="Z16" s="211"/>
    </row>
    <row r="17" spans="1:26" x14ac:dyDescent="0.3">
      <c r="A17" s="28" t="s">
        <v>19</v>
      </c>
      <c r="B17" s="274"/>
      <c r="C17" s="274" t="s">
        <v>13</v>
      </c>
      <c r="D17" s="215">
        <f>(J6+K6)*$Y$3</f>
        <v>22.5</v>
      </c>
      <c r="G17" s="255"/>
      <c r="H17" s="210">
        <f t="shared" ref="H17:H32" si="3">MAX(K17:N17)+MAX(U17:X17)</f>
        <v>3</v>
      </c>
      <c r="I17" s="259" t="s">
        <v>405</v>
      </c>
      <c r="J17" s="266">
        <v>2</v>
      </c>
      <c r="K17" s="266"/>
      <c r="L17" s="266">
        <v>2</v>
      </c>
      <c r="M17" s="266">
        <v>1</v>
      </c>
      <c r="N17" s="266"/>
      <c r="O17" s="216">
        <f t="shared" ref="O17:O32" si="4">(J17+K17)*$Y$3</f>
        <v>1</v>
      </c>
      <c r="P17" s="216"/>
      <c r="Q17" s="293"/>
      <c r="R17" s="319"/>
      <c r="S17" s="65" t="s">
        <v>109</v>
      </c>
      <c r="T17" s="66"/>
      <c r="U17" s="66">
        <v>1</v>
      </c>
      <c r="V17" s="66"/>
      <c r="W17" s="66"/>
      <c r="X17" s="320"/>
      <c r="Y17" s="307">
        <f t="shared" ref="Y17:Y32" si="5">(T17+U17)*$Y$3</f>
        <v>0.5</v>
      </c>
      <c r="Z17" s="216"/>
    </row>
    <row r="18" spans="1:26" ht="15" thickBot="1" x14ac:dyDescent="0.35">
      <c r="A18" s="29"/>
      <c r="C18" s="258" t="s">
        <v>14</v>
      </c>
      <c r="D18" s="217">
        <f>(J2+K2)*$Y$2</f>
        <v>12.4</v>
      </c>
      <c r="G18" s="255"/>
      <c r="H18" s="210">
        <f t="shared" si="3"/>
        <v>1</v>
      </c>
      <c r="I18" s="259" t="s">
        <v>273</v>
      </c>
      <c r="J18" s="266"/>
      <c r="K18" s="266"/>
      <c r="L18" s="266">
        <v>1</v>
      </c>
      <c r="M18" s="266">
        <v>1</v>
      </c>
      <c r="N18" s="266"/>
      <c r="O18" s="216">
        <f t="shared" si="4"/>
        <v>0</v>
      </c>
      <c r="P18" s="216"/>
      <c r="Q18" s="293"/>
      <c r="R18" s="319"/>
      <c r="S18" s="65" t="s">
        <v>535</v>
      </c>
      <c r="T18" s="66">
        <v>2</v>
      </c>
      <c r="U18" s="66"/>
      <c r="V18" s="66"/>
      <c r="W18" s="66"/>
      <c r="X18" s="320"/>
      <c r="Y18" s="307">
        <f t="shared" si="5"/>
        <v>1</v>
      </c>
      <c r="Z18" s="216"/>
    </row>
    <row r="19" spans="1:26" ht="15.6" thickTop="1" thickBot="1" x14ac:dyDescent="0.35">
      <c r="A19" s="30"/>
      <c r="B19" s="261"/>
      <c r="C19" s="218" t="s">
        <v>7</v>
      </c>
      <c r="D19" s="219">
        <f>SUM(D17:D18)</f>
        <v>34.9</v>
      </c>
      <c r="G19" s="255"/>
      <c r="H19" s="210">
        <f t="shared" si="3"/>
        <v>3</v>
      </c>
      <c r="I19" s="259" t="s">
        <v>498</v>
      </c>
      <c r="J19" s="266">
        <v>3</v>
      </c>
      <c r="K19" s="266">
        <v>2</v>
      </c>
      <c r="L19" s="266"/>
      <c r="M19" s="266"/>
      <c r="N19" s="266"/>
      <c r="O19" s="216">
        <f t="shared" si="4"/>
        <v>2.5</v>
      </c>
      <c r="P19" s="216"/>
      <c r="Q19" s="293"/>
      <c r="R19" s="321"/>
      <c r="S19" s="322" t="s">
        <v>93</v>
      </c>
      <c r="T19" s="314"/>
      <c r="U19" s="314">
        <v>1</v>
      </c>
      <c r="V19" s="314"/>
      <c r="W19" s="314"/>
      <c r="X19" s="323"/>
      <c r="Y19" s="307">
        <f t="shared" si="5"/>
        <v>0.5</v>
      </c>
      <c r="Z19" s="216"/>
    </row>
    <row r="20" spans="1:26" ht="15" thickBot="1" x14ac:dyDescent="0.35">
      <c r="G20" s="255"/>
      <c r="H20" s="210">
        <f t="shared" si="3"/>
        <v>2</v>
      </c>
      <c r="I20" s="259" t="s">
        <v>54</v>
      </c>
      <c r="J20" s="266"/>
      <c r="K20" s="266"/>
      <c r="L20" s="266">
        <v>2</v>
      </c>
      <c r="M20" s="266">
        <v>1</v>
      </c>
      <c r="N20" s="266"/>
      <c r="O20" s="216">
        <f t="shared" si="4"/>
        <v>0</v>
      </c>
      <c r="P20" s="216"/>
      <c r="Q20" s="195"/>
      <c r="R20" s="265"/>
      <c r="S20" s="259"/>
      <c r="T20" s="266"/>
      <c r="U20" s="266"/>
      <c r="V20" s="266"/>
      <c r="W20" s="266"/>
      <c r="Y20" s="216">
        <f t="shared" si="5"/>
        <v>0</v>
      </c>
      <c r="Z20" s="216"/>
    </row>
    <row r="21" spans="1:26" x14ac:dyDescent="0.3">
      <c r="A21" s="220" t="s">
        <v>243</v>
      </c>
      <c r="B21" s="274"/>
      <c r="C21" s="274"/>
      <c r="D21" s="272"/>
      <c r="G21" s="255"/>
      <c r="H21" s="210">
        <f t="shared" si="3"/>
        <v>2</v>
      </c>
      <c r="I21" s="259" t="s">
        <v>497</v>
      </c>
      <c r="J21" s="266"/>
      <c r="K21" s="266"/>
      <c r="L21" s="256">
        <v>1</v>
      </c>
      <c r="M21" s="256">
        <v>1</v>
      </c>
      <c r="N21" s="266"/>
      <c r="O21" s="216">
        <f t="shared" si="4"/>
        <v>0</v>
      </c>
      <c r="P21" s="216"/>
      <c r="Q21" s="195"/>
      <c r="R21" s="255" t="s">
        <v>60</v>
      </c>
      <c r="S21" s="259" t="s">
        <v>378</v>
      </c>
      <c r="T21" s="253"/>
      <c r="U21" s="259">
        <v>1</v>
      </c>
      <c r="V21" s="253"/>
      <c r="W21" s="253"/>
      <c r="X21" s="254">
        <v>1</v>
      </c>
      <c r="Y21" s="216">
        <f t="shared" si="5"/>
        <v>0.5</v>
      </c>
      <c r="Z21" s="216"/>
    </row>
    <row r="22" spans="1:26" x14ac:dyDescent="0.3">
      <c r="A22" s="221"/>
      <c r="B22" s="157" t="s">
        <v>232</v>
      </c>
      <c r="C22" s="157"/>
      <c r="D22" s="158"/>
      <c r="G22" s="255"/>
      <c r="H22" s="210">
        <f t="shared" si="3"/>
        <v>0</v>
      </c>
      <c r="I22" s="259"/>
      <c r="J22" s="266"/>
      <c r="K22" s="266"/>
      <c r="L22" s="266"/>
      <c r="M22" s="266"/>
      <c r="N22" s="266"/>
      <c r="O22" s="216">
        <f t="shared" si="4"/>
        <v>0</v>
      </c>
      <c r="P22" s="216"/>
      <c r="Q22" s="195"/>
      <c r="R22" s="237"/>
      <c r="S22" s="240"/>
      <c r="T22" s="223"/>
      <c r="U22" s="223"/>
      <c r="V22" s="223"/>
      <c r="W22" s="223"/>
      <c r="Y22" s="216">
        <f t="shared" si="5"/>
        <v>0</v>
      </c>
      <c r="Z22" s="216"/>
    </row>
    <row r="23" spans="1:26" x14ac:dyDescent="0.3">
      <c r="A23" s="29"/>
      <c r="B23" s="159"/>
      <c r="C23" s="24" t="s">
        <v>20</v>
      </c>
      <c r="D23" s="25">
        <f>B23*0.5</f>
        <v>0</v>
      </c>
      <c r="G23" s="255"/>
      <c r="H23" s="228">
        <f t="shared" si="3"/>
        <v>0</v>
      </c>
      <c r="I23" s="308" t="s">
        <v>499</v>
      </c>
      <c r="J23" s="309">
        <v>1</v>
      </c>
      <c r="K23" s="309"/>
      <c r="L23" s="309"/>
      <c r="M23" s="309"/>
      <c r="N23" s="310"/>
      <c r="O23" s="307">
        <f t="shared" si="4"/>
        <v>0.5</v>
      </c>
      <c r="P23" s="216"/>
      <c r="Q23" s="195"/>
      <c r="R23" s="265"/>
      <c r="S23" s="259"/>
      <c r="T23" s="266"/>
      <c r="U23" s="266"/>
      <c r="V23" s="266"/>
      <c r="W23" s="266"/>
      <c r="Y23" s="216">
        <f t="shared" si="5"/>
        <v>0</v>
      </c>
      <c r="Z23" s="216"/>
    </row>
    <row r="24" spans="1:26" x14ac:dyDescent="0.3">
      <c r="A24" s="29"/>
      <c r="B24" s="159">
        <v>0</v>
      </c>
      <c r="C24" s="24" t="s">
        <v>21</v>
      </c>
      <c r="D24" s="25">
        <f>B24</f>
        <v>0</v>
      </c>
      <c r="G24" s="255"/>
      <c r="H24" s="228">
        <f t="shared" si="3"/>
        <v>2</v>
      </c>
      <c r="I24" s="311" t="s">
        <v>323</v>
      </c>
      <c r="J24" s="66"/>
      <c r="K24" s="66">
        <v>2</v>
      </c>
      <c r="L24" s="66"/>
      <c r="M24" s="66"/>
      <c r="N24" s="312"/>
      <c r="O24" s="307">
        <f t="shared" si="4"/>
        <v>1</v>
      </c>
      <c r="P24" s="216"/>
      <c r="Q24" s="195"/>
      <c r="R24" s="265"/>
      <c r="S24" s="259"/>
      <c r="T24" s="266"/>
      <c r="U24" s="266"/>
      <c r="V24" s="266"/>
      <c r="W24" s="266"/>
      <c r="Y24" s="216">
        <f t="shared" si="5"/>
        <v>0</v>
      </c>
      <c r="Z24" s="216"/>
    </row>
    <row r="25" spans="1:26" x14ac:dyDescent="0.3">
      <c r="A25" s="29"/>
      <c r="B25" s="159">
        <v>2</v>
      </c>
      <c r="C25" s="24" t="s">
        <v>22</v>
      </c>
      <c r="D25" s="25">
        <f>B25</f>
        <v>2</v>
      </c>
      <c r="G25" s="255"/>
      <c r="H25" s="228">
        <f t="shared" si="3"/>
        <v>0</v>
      </c>
      <c r="I25" s="311"/>
      <c r="J25" s="66"/>
      <c r="K25" s="66"/>
      <c r="L25" s="66"/>
      <c r="M25" s="66"/>
      <c r="N25" s="312"/>
      <c r="O25" s="307">
        <f t="shared" si="4"/>
        <v>0</v>
      </c>
      <c r="P25" s="216"/>
      <c r="Q25" s="195"/>
      <c r="R25" s="265"/>
      <c r="S25" s="259"/>
      <c r="T25" s="266"/>
      <c r="U25" s="266"/>
      <c r="V25" s="266"/>
      <c r="W25" s="266"/>
      <c r="Y25" s="216">
        <f t="shared" si="5"/>
        <v>0</v>
      </c>
      <c r="Z25" s="216"/>
    </row>
    <row r="26" spans="1:26" x14ac:dyDescent="0.3">
      <c r="A26" s="29"/>
      <c r="B26" s="159">
        <v>4</v>
      </c>
      <c r="C26" s="24" t="s">
        <v>23</v>
      </c>
      <c r="D26" s="25">
        <f>B26</f>
        <v>4</v>
      </c>
      <c r="G26" s="255"/>
      <c r="H26" s="228">
        <f t="shared" si="3"/>
        <v>1</v>
      </c>
      <c r="I26" s="311" t="s">
        <v>525</v>
      </c>
      <c r="J26" s="66">
        <v>2</v>
      </c>
      <c r="K26" s="66"/>
      <c r="L26" s="66"/>
      <c r="M26" s="66"/>
      <c r="N26" s="312">
        <v>1</v>
      </c>
      <c r="O26" s="307">
        <f t="shared" si="4"/>
        <v>1</v>
      </c>
      <c r="P26" s="216"/>
      <c r="Q26" s="195"/>
      <c r="R26" s="265"/>
      <c r="S26" s="259"/>
      <c r="T26" s="266"/>
      <c r="U26" s="266"/>
      <c r="V26" s="266"/>
      <c r="W26" s="266"/>
      <c r="Y26" s="216">
        <f>(T25+U25)*$Y$3</f>
        <v>0</v>
      </c>
      <c r="Z26" s="216"/>
    </row>
    <row r="27" spans="1:26" ht="15" thickBot="1" x14ac:dyDescent="0.35">
      <c r="A27" s="30"/>
      <c r="B27" s="160"/>
      <c r="C27" s="161" t="s">
        <v>25</v>
      </c>
      <c r="D27" s="162">
        <f>SUM(D23:D26)</f>
        <v>6</v>
      </c>
      <c r="G27" s="255"/>
      <c r="H27" s="228">
        <f t="shared" si="3"/>
        <v>0</v>
      </c>
      <c r="I27" s="362" t="s">
        <v>524</v>
      </c>
      <c r="J27" s="360">
        <v>6</v>
      </c>
      <c r="K27" s="360"/>
      <c r="L27" s="360"/>
      <c r="M27" s="360"/>
      <c r="N27" s="363"/>
      <c r="O27" s="307">
        <f t="shared" si="4"/>
        <v>3</v>
      </c>
      <c r="P27" s="216"/>
      <c r="Q27" s="195"/>
      <c r="R27" s="265"/>
      <c r="S27" s="259"/>
      <c r="T27" s="266"/>
      <c r="U27" s="266"/>
      <c r="V27" s="266"/>
      <c r="W27" s="266"/>
      <c r="Y27" s="216">
        <f>(T26+U26)*$Y$3</f>
        <v>0</v>
      </c>
      <c r="Z27" s="216"/>
    </row>
    <row r="28" spans="1:26" ht="15" thickBot="1" x14ac:dyDescent="0.35">
      <c r="G28" s="255"/>
      <c r="H28" s="228">
        <f t="shared" si="3"/>
        <v>1</v>
      </c>
      <c r="I28" s="313" t="s">
        <v>76</v>
      </c>
      <c r="J28" s="314"/>
      <c r="K28" s="314">
        <v>1</v>
      </c>
      <c r="L28" s="314"/>
      <c r="M28" s="314">
        <v>1</v>
      </c>
      <c r="N28" s="315"/>
      <c r="O28" s="307">
        <f t="shared" si="4"/>
        <v>0.5</v>
      </c>
      <c r="P28" s="216"/>
      <c r="Q28" s="195"/>
      <c r="R28" s="265"/>
      <c r="S28" s="259"/>
      <c r="T28" s="266"/>
      <c r="U28" s="266"/>
      <c r="V28" s="266"/>
      <c r="W28" s="266"/>
      <c r="Y28" s="216">
        <f t="shared" si="5"/>
        <v>0</v>
      </c>
      <c r="Z28" s="216"/>
    </row>
    <row r="29" spans="1:26" x14ac:dyDescent="0.3">
      <c r="A29" s="220" t="s">
        <v>244</v>
      </c>
      <c r="B29" s="274"/>
      <c r="C29" s="274"/>
      <c r="D29" s="272"/>
      <c r="G29" s="255"/>
      <c r="H29" s="210">
        <f t="shared" si="3"/>
        <v>0</v>
      </c>
      <c r="I29" s="259"/>
      <c r="J29" s="266"/>
      <c r="K29" s="266"/>
      <c r="L29" s="266"/>
      <c r="M29" s="266"/>
      <c r="N29" s="266"/>
      <c r="O29" s="216">
        <f t="shared" si="4"/>
        <v>0</v>
      </c>
      <c r="P29" s="216"/>
      <c r="Q29" s="195"/>
      <c r="R29" s="265"/>
      <c r="S29" s="259"/>
      <c r="T29" s="266"/>
      <c r="U29" s="266"/>
      <c r="V29" s="266"/>
      <c r="W29" s="266"/>
      <c r="Y29" s="216">
        <f t="shared" si="5"/>
        <v>0</v>
      </c>
      <c r="Z29" s="216"/>
    </row>
    <row r="30" spans="1:26" x14ac:dyDescent="0.3">
      <c r="A30" s="221"/>
      <c r="C30" s="241" t="s">
        <v>26</v>
      </c>
      <c r="D30" s="254">
        <f>P2</f>
        <v>0</v>
      </c>
      <c r="G30" s="255"/>
      <c r="H30" s="210">
        <f t="shared" si="3"/>
        <v>0</v>
      </c>
      <c r="I30" s="259" t="s">
        <v>289</v>
      </c>
      <c r="J30" s="266">
        <v>1</v>
      </c>
      <c r="K30" s="266"/>
      <c r="L30" s="266"/>
      <c r="M30" s="266"/>
      <c r="N30" s="266"/>
      <c r="O30" s="216">
        <f t="shared" si="4"/>
        <v>0.5</v>
      </c>
      <c r="P30" s="216"/>
      <c r="Q30" s="195"/>
      <c r="R30" s="265"/>
      <c r="S30" s="259"/>
      <c r="T30" s="266"/>
      <c r="U30" s="266"/>
      <c r="V30" s="266"/>
      <c r="W30" s="266"/>
      <c r="Y30" s="216">
        <f t="shared" si="5"/>
        <v>0</v>
      </c>
      <c r="Z30" s="216"/>
    </row>
    <row r="31" spans="1:26" x14ac:dyDescent="0.3">
      <c r="A31" s="29"/>
      <c r="B31" s="157" t="s">
        <v>232</v>
      </c>
      <c r="C31" s="157"/>
      <c r="D31" s="224"/>
      <c r="G31" s="255"/>
      <c r="H31" s="210">
        <f t="shared" si="3"/>
        <v>2</v>
      </c>
      <c r="I31" s="259" t="s">
        <v>84</v>
      </c>
      <c r="J31" s="266"/>
      <c r="K31" s="266"/>
      <c r="L31" s="266">
        <v>2</v>
      </c>
      <c r="M31" s="266">
        <v>1</v>
      </c>
      <c r="N31" s="266"/>
      <c r="O31" s="216">
        <f t="shared" si="4"/>
        <v>0</v>
      </c>
      <c r="P31" s="216"/>
      <c r="Q31" s="195"/>
      <c r="R31" s="265"/>
      <c r="S31" s="259"/>
      <c r="T31" s="266"/>
      <c r="U31" s="266"/>
      <c r="V31" s="266"/>
      <c r="W31" s="266"/>
      <c r="Y31" s="216">
        <f t="shared" si="5"/>
        <v>0</v>
      </c>
      <c r="Z31" s="216"/>
    </row>
    <row r="32" spans="1:26" ht="15" thickBot="1" x14ac:dyDescent="0.35">
      <c r="A32" s="29"/>
      <c r="B32" s="159"/>
      <c r="C32" s="24" t="s">
        <v>16</v>
      </c>
      <c r="D32" s="25">
        <f>INT(B32/4)</f>
        <v>0</v>
      </c>
      <c r="G32" s="260"/>
      <c r="H32" s="225">
        <f t="shared" si="3"/>
        <v>0</v>
      </c>
      <c r="I32" s="269"/>
      <c r="J32" s="269"/>
      <c r="K32" s="269"/>
      <c r="L32" s="269"/>
      <c r="M32" s="269"/>
      <c r="N32" s="269"/>
      <c r="O32" s="216">
        <f t="shared" si="4"/>
        <v>0</v>
      </c>
      <c r="P32" s="216"/>
      <c r="Q32" s="226"/>
      <c r="R32" s="268"/>
      <c r="S32" s="269"/>
      <c r="T32" s="269"/>
      <c r="U32" s="269"/>
      <c r="V32" s="269"/>
      <c r="W32" s="269"/>
      <c r="X32" s="261"/>
      <c r="Y32" s="216">
        <f t="shared" si="5"/>
        <v>0</v>
      </c>
      <c r="Z32" s="216"/>
    </row>
    <row r="33" spans="1:26" ht="15" thickBot="1" x14ac:dyDescent="0.35">
      <c r="A33" s="29"/>
      <c r="B33" s="159"/>
      <c r="C33" s="24" t="s">
        <v>17</v>
      </c>
      <c r="D33" s="25">
        <f>INT(B33/3)</f>
        <v>0</v>
      </c>
      <c r="G33" s="183" t="s">
        <v>258</v>
      </c>
      <c r="H33" s="184" t="s">
        <v>69</v>
      </c>
      <c r="I33" s="185" t="s">
        <v>237</v>
      </c>
      <c r="J33" s="186" t="s">
        <v>228</v>
      </c>
      <c r="K33" s="187" t="s">
        <v>204</v>
      </c>
      <c r="L33" s="187" t="s">
        <v>100</v>
      </c>
      <c r="M33" s="187" t="s">
        <v>205</v>
      </c>
      <c r="N33" s="187" t="s">
        <v>206</v>
      </c>
      <c r="O33" s="188" t="s">
        <v>27</v>
      </c>
      <c r="P33" s="188" t="s">
        <v>236</v>
      </c>
      <c r="Q33" s="189"/>
      <c r="R33" s="185" t="s">
        <v>41</v>
      </c>
      <c r="S33" s="185" t="s">
        <v>237</v>
      </c>
      <c r="T33" s="186" t="s">
        <v>228</v>
      </c>
      <c r="U33" s="187" t="s">
        <v>204</v>
      </c>
      <c r="V33" s="187" t="s">
        <v>100</v>
      </c>
      <c r="W33" s="187" t="s">
        <v>205</v>
      </c>
      <c r="X33" s="187" t="s">
        <v>206</v>
      </c>
      <c r="Y33" s="188" t="s">
        <v>27</v>
      </c>
      <c r="Z33" s="188" t="s">
        <v>236</v>
      </c>
    </row>
    <row r="34" spans="1:26" ht="15" thickBot="1" x14ac:dyDescent="0.35">
      <c r="A34" s="29"/>
      <c r="B34" s="159">
        <v>2</v>
      </c>
      <c r="C34" s="24" t="s">
        <v>18</v>
      </c>
      <c r="D34" s="25">
        <f>B34</f>
        <v>2</v>
      </c>
      <c r="G34" s="264" t="s">
        <v>161</v>
      </c>
      <c r="H34" s="118" t="s">
        <v>239</v>
      </c>
      <c r="I34" s="201"/>
      <c r="J34" s="137"/>
      <c r="K34" s="137"/>
      <c r="L34" s="137"/>
      <c r="M34" s="137"/>
      <c r="N34" s="153"/>
      <c r="O34" s="156"/>
      <c r="P34" s="156"/>
      <c r="Q34" s="200"/>
      <c r="R34" s="201"/>
      <c r="S34" s="201"/>
      <c r="T34" s="137"/>
      <c r="U34" s="137"/>
      <c r="V34" s="137"/>
      <c r="W34" s="137"/>
      <c r="X34" s="153"/>
      <c r="Y34" s="156"/>
      <c r="Z34" s="156"/>
    </row>
    <row r="35" spans="1:26" x14ac:dyDescent="0.3">
      <c r="A35" s="29"/>
      <c r="C35" s="241" t="s">
        <v>12</v>
      </c>
      <c r="D35" s="136">
        <f>INT((D14-10)/5)</f>
        <v>6</v>
      </c>
      <c r="G35" s="202" t="s">
        <v>242</v>
      </c>
      <c r="H35" s="227" t="s">
        <v>239</v>
      </c>
      <c r="I35" s="209"/>
      <c r="J35" s="205"/>
      <c r="K35" s="205"/>
      <c r="L35" s="205"/>
      <c r="M35" s="205"/>
      <c r="N35" s="206"/>
      <c r="O35" s="207"/>
      <c r="P35" s="207"/>
      <c r="Q35" s="208"/>
      <c r="R35" s="209"/>
      <c r="S35" s="209"/>
      <c r="T35" s="205"/>
      <c r="U35" s="205"/>
      <c r="V35" s="205"/>
      <c r="W35" s="205"/>
      <c r="X35" s="206"/>
      <c r="Y35" s="207"/>
      <c r="Z35" s="207"/>
    </row>
    <row r="36" spans="1:26" ht="15" thickBot="1" x14ac:dyDescent="0.35">
      <c r="A36" s="29"/>
      <c r="C36" s="263" t="s">
        <v>7</v>
      </c>
      <c r="D36" s="229">
        <f>SUM(D32:D35)</f>
        <v>8</v>
      </c>
      <c r="G36" s="202">
        <f>SUM(H36:H43)</f>
        <v>4</v>
      </c>
      <c r="H36" s="228">
        <f>MAX(K36:N36)+MAX(U36:X36)</f>
        <v>0</v>
      </c>
      <c r="I36" s="29"/>
      <c r="O36" s="211">
        <f>(J36+K36)*$Y$3</f>
        <v>0</v>
      </c>
      <c r="P36" s="211"/>
      <c r="Q36" s="195"/>
      <c r="R36" s="212"/>
      <c r="S36" s="212"/>
      <c r="T36" s="213"/>
      <c r="U36" s="213"/>
      <c r="V36" s="213"/>
      <c r="W36" s="213"/>
      <c r="X36" s="214"/>
      <c r="Y36" s="211">
        <f>(T36+U36)*$Y$3</f>
        <v>0</v>
      </c>
      <c r="Z36" s="211"/>
    </row>
    <row r="37" spans="1:26" ht="15" thickTop="1" x14ac:dyDescent="0.3">
      <c r="A37" s="29"/>
      <c r="C37" s="415"/>
      <c r="D37" s="543"/>
      <c r="G37" s="202"/>
      <c r="H37" s="228">
        <f t="shared" ref="H37:H40" si="6">MAX(K37:N37)+MAX(U37:X37)</f>
        <v>1</v>
      </c>
      <c r="I37" s="555" t="s">
        <v>91</v>
      </c>
      <c r="J37" s="545"/>
      <c r="K37" s="545">
        <v>1</v>
      </c>
      <c r="L37" s="545"/>
      <c r="M37" s="545"/>
      <c r="N37" s="556"/>
      <c r="O37" s="211">
        <f t="shared" ref="O37:O40" si="7">(J37+K37)*$Y$3</f>
        <v>0.5</v>
      </c>
      <c r="P37" s="211"/>
      <c r="Q37" s="195"/>
      <c r="R37" s="353"/>
      <c r="S37" s="353"/>
      <c r="T37" s="354"/>
      <c r="U37" s="354"/>
      <c r="V37" s="354"/>
      <c r="W37" s="354"/>
      <c r="X37" s="354"/>
      <c r="Y37" s="216">
        <f t="shared" ref="Y37:Y40" si="8">(T37+U37)*$Y$3</f>
        <v>0</v>
      </c>
      <c r="Z37" s="211"/>
    </row>
    <row r="38" spans="1:26" ht="15" thickBot="1" x14ac:dyDescent="0.35">
      <c r="A38" s="29"/>
      <c r="C38" s="415" t="s">
        <v>502</v>
      </c>
      <c r="D38" s="543">
        <f>D27-D36</f>
        <v>-2</v>
      </c>
      <c r="G38" s="202"/>
      <c r="H38" s="228">
        <f t="shared" si="6"/>
        <v>1</v>
      </c>
      <c r="I38" s="557" t="s">
        <v>45</v>
      </c>
      <c r="J38" s="469"/>
      <c r="K38" s="469">
        <v>1</v>
      </c>
      <c r="L38" s="469"/>
      <c r="M38" s="469"/>
      <c r="N38" s="558"/>
      <c r="O38" s="211">
        <f t="shared" si="7"/>
        <v>0.5</v>
      </c>
      <c r="P38" s="211"/>
      <c r="Q38" s="195"/>
      <c r="R38" s="353"/>
      <c r="S38" s="353"/>
      <c r="T38" s="354"/>
      <c r="U38" s="354"/>
      <c r="V38" s="354"/>
      <c r="W38" s="354"/>
      <c r="X38" s="354"/>
      <c r="Y38" s="216">
        <f t="shared" si="8"/>
        <v>0</v>
      </c>
      <c r="Z38" s="211"/>
    </row>
    <row r="39" spans="1:26" x14ac:dyDescent="0.3">
      <c r="A39" s="29"/>
      <c r="C39" s="415"/>
      <c r="D39" s="543"/>
      <c r="G39" s="202"/>
      <c r="H39" s="228">
        <f t="shared" si="6"/>
        <v>2</v>
      </c>
      <c r="I39" s="443" t="s">
        <v>89</v>
      </c>
      <c r="J39" s="256"/>
      <c r="K39" s="256"/>
      <c r="L39" s="256"/>
      <c r="M39" s="256">
        <v>1</v>
      </c>
      <c r="N39" s="256">
        <v>2</v>
      </c>
      <c r="O39" s="211">
        <f t="shared" si="7"/>
        <v>0</v>
      </c>
      <c r="P39" s="211"/>
      <c r="Q39" s="195"/>
      <c r="R39" s="353"/>
      <c r="S39" s="353"/>
      <c r="T39" s="354"/>
      <c r="U39" s="354"/>
      <c r="V39" s="354"/>
      <c r="W39" s="354"/>
      <c r="X39" s="354"/>
      <c r="Y39" s="216">
        <f t="shared" si="8"/>
        <v>0</v>
      </c>
      <c r="Z39" s="211"/>
    </row>
    <row r="40" spans="1:26" x14ac:dyDescent="0.3">
      <c r="A40" s="29"/>
      <c r="C40" s="415"/>
      <c r="D40" s="543"/>
      <c r="G40" s="202"/>
      <c r="H40" s="228">
        <f t="shared" si="6"/>
        <v>0</v>
      </c>
      <c r="I40" s="29"/>
      <c r="O40" s="211">
        <f t="shared" si="7"/>
        <v>0</v>
      </c>
      <c r="P40" s="211"/>
      <c r="Q40" s="195"/>
      <c r="R40" s="353"/>
      <c r="S40" s="353"/>
      <c r="T40" s="354"/>
      <c r="U40" s="354"/>
      <c r="V40" s="354"/>
      <c r="W40" s="354"/>
      <c r="X40" s="354"/>
      <c r="Y40" s="216">
        <f t="shared" si="8"/>
        <v>0</v>
      </c>
      <c r="Z40" s="211"/>
    </row>
    <row r="41" spans="1:26" ht="15" thickBot="1" x14ac:dyDescent="0.35">
      <c r="A41" s="30"/>
      <c r="B41" s="261"/>
      <c r="C41" s="261" t="s">
        <v>34</v>
      </c>
      <c r="D41" s="262">
        <f>IF((D38)&lt;=0,0,D35)</f>
        <v>0</v>
      </c>
      <c r="G41" s="265"/>
      <c r="H41" s="228">
        <f>MAX(K41:N41)+MAX(U41:X41)</f>
        <v>0</v>
      </c>
      <c r="I41" s="57"/>
      <c r="J41" s="266"/>
      <c r="K41" s="266"/>
      <c r="L41" s="266"/>
      <c r="M41" s="266"/>
      <c r="N41" s="266"/>
      <c r="O41" s="216">
        <f>(J41+K41)*$Y$3</f>
        <v>0</v>
      </c>
      <c r="P41" s="216"/>
      <c r="Q41" s="195"/>
      <c r="R41" s="57"/>
      <c r="S41" s="57"/>
      <c r="T41" s="266"/>
      <c r="U41" s="266"/>
      <c r="V41" s="266"/>
      <c r="W41" s="266"/>
      <c r="Y41" s="216">
        <f>(T41+U41)*$Y$3</f>
        <v>0</v>
      </c>
      <c r="Z41" s="216"/>
    </row>
    <row r="42" spans="1:26" x14ac:dyDescent="0.3">
      <c r="G42" s="265"/>
      <c r="H42" s="228">
        <f>MAX(K42:N42)+MAX(U42:X42)</f>
        <v>0</v>
      </c>
      <c r="I42" s="57"/>
      <c r="J42" s="266"/>
      <c r="K42" s="266"/>
      <c r="L42" s="266"/>
      <c r="M42" s="266"/>
      <c r="N42" s="266"/>
      <c r="O42" s="216">
        <f>(J42+K42)*$Y$3</f>
        <v>0</v>
      </c>
      <c r="P42" s="216"/>
      <c r="Q42" s="195"/>
      <c r="R42" s="57"/>
      <c r="S42" s="57"/>
      <c r="T42" s="266"/>
      <c r="U42" s="266"/>
      <c r="V42" s="266"/>
      <c r="W42" s="266"/>
      <c r="Y42" s="216">
        <f>(T42+U42)*$Y$3</f>
        <v>0</v>
      </c>
      <c r="Z42" s="216"/>
    </row>
    <row r="43" spans="1:26" ht="15" thickBot="1" x14ac:dyDescent="0.35">
      <c r="G43" s="265"/>
      <c r="H43" s="228">
        <f>MAX(K43:N43)+MAX(U43:X43)</f>
        <v>0</v>
      </c>
      <c r="I43" s="81"/>
      <c r="J43" s="269"/>
      <c r="K43" s="269"/>
      <c r="L43" s="269"/>
      <c r="M43" s="269"/>
      <c r="N43" s="269"/>
      <c r="O43" s="216">
        <f>(J43+K43)*$Y$3</f>
        <v>0</v>
      </c>
      <c r="P43" s="216"/>
      <c r="Q43" s="195"/>
      <c r="R43" s="81"/>
      <c r="S43" s="81"/>
      <c r="T43" s="269"/>
      <c r="U43" s="269"/>
      <c r="V43" s="269"/>
      <c r="W43" s="269"/>
      <c r="X43" s="261"/>
      <c r="Y43" s="216">
        <f>(T43+U43)*$Y$3</f>
        <v>0</v>
      </c>
      <c r="Z43" s="216"/>
    </row>
    <row r="44" spans="1:26" ht="15" thickBot="1" x14ac:dyDescent="0.35">
      <c r="C44" s="267" t="s">
        <v>27</v>
      </c>
      <c r="D44" s="267">
        <f>D19-D41</f>
        <v>34.9</v>
      </c>
      <c r="G44" s="183" t="s">
        <v>259</v>
      </c>
      <c r="H44" s="184" t="s">
        <v>69</v>
      </c>
      <c r="I44" s="185" t="s">
        <v>237</v>
      </c>
      <c r="J44" s="154" t="s">
        <v>228</v>
      </c>
      <c r="K44" s="187" t="s">
        <v>204</v>
      </c>
      <c r="L44" s="187" t="s">
        <v>100</v>
      </c>
      <c r="M44" s="187" t="s">
        <v>205</v>
      </c>
      <c r="N44" s="187" t="s">
        <v>206</v>
      </c>
      <c r="O44" s="188" t="s">
        <v>27</v>
      </c>
      <c r="P44" s="188" t="s">
        <v>236</v>
      </c>
      <c r="Q44" s="189"/>
      <c r="R44" s="185" t="s">
        <v>41</v>
      </c>
      <c r="S44" s="185" t="s">
        <v>237</v>
      </c>
      <c r="T44" s="154" t="s">
        <v>228</v>
      </c>
      <c r="U44" s="187" t="s">
        <v>204</v>
      </c>
      <c r="V44" s="187" t="s">
        <v>100</v>
      </c>
      <c r="W44" s="187" t="s">
        <v>205</v>
      </c>
      <c r="X44" s="187" t="s">
        <v>206</v>
      </c>
      <c r="Y44" s="188" t="s">
        <v>27</v>
      </c>
      <c r="Z44" s="188" t="s">
        <v>236</v>
      </c>
    </row>
    <row r="45" spans="1:26" ht="15.6" thickTop="1" thickBot="1" x14ac:dyDescent="0.35">
      <c r="G45" s="264" t="s">
        <v>161</v>
      </c>
      <c r="H45" s="118" t="s">
        <v>239</v>
      </c>
      <c r="I45" s="201"/>
      <c r="J45" s="137"/>
      <c r="K45" s="137"/>
      <c r="L45" s="137"/>
      <c r="M45" s="137"/>
      <c r="N45" s="153"/>
      <c r="O45" s="156"/>
      <c r="P45" s="156"/>
      <c r="Q45" s="200"/>
      <c r="R45" s="201"/>
      <c r="S45" s="201"/>
      <c r="T45" s="137"/>
      <c r="U45" s="137"/>
      <c r="V45" s="137"/>
      <c r="W45" s="137"/>
      <c r="X45" s="153"/>
      <c r="Y45" s="156"/>
      <c r="Z45" s="156"/>
    </row>
    <row r="46" spans="1:26" x14ac:dyDescent="0.3">
      <c r="G46" s="202" t="s">
        <v>242</v>
      </c>
      <c r="H46" s="227" t="s">
        <v>239</v>
      </c>
      <c r="I46" s="209"/>
      <c r="J46" s="205"/>
      <c r="K46" s="205"/>
      <c r="L46" s="205"/>
      <c r="M46" s="205"/>
      <c r="N46" s="206"/>
      <c r="O46" s="207"/>
      <c r="P46" s="207"/>
      <c r="Q46" s="208"/>
      <c r="R46" s="209"/>
      <c r="S46" s="209"/>
      <c r="T46" s="205"/>
      <c r="U46" s="205"/>
      <c r="V46" s="205"/>
      <c r="W46" s="205"/>
      <c r="X46" s="206"/>
      <c r="Y46" s="207"/>
      <c r="Z46" s="207"/>
    </row>
    <row r="47" spans="1:26" x14ac:dyDescent="0.3">
      <c r="G47" s="202">
        <f>SUM(H47:H50)</f>
        <v>0</v>
      </c>
      <c r="H47" s="228">
        <f>MAX(K47:N47)+MAX(U47:X47)</f>
        <v>0</v>
      </c>
      <c r="I47" s="29"/>
      <c r="O47" s="211">
        <f>(J47+K47)*$Y$3</f>
        <v>0</v>
      </c>
      <c r="P47" s="211"/>
      <c r="Q47" s="195"/>
      <c r="R47" s="212"/>
      <c r="S47" s="212"/>
      <c r="T47" s="213"/>
      <c r="U47" s="213"/>
      <c r="V47" s="213"/>
      <c r="W47" s="213"/>
      <c r="X47" s="214"/>
      <c r="Y47" s="211">
        <f>(T47+U47)*$Y$3</f>
        <v>0</v>
      </c>
      <c r="Z47" s="211"/>
    </row>
    <row r="48" spans="1:26" x14ac:dyDescent="0.3">
      <c r="G48" s="265"/>
      <c r="H48" s="228">
        <f t="shared" ref="H48:H55" si="9">MAX(K48:N48)+MAX(U48:X48)</f>
        <v>0</v>
      </c>
      <c r="I48" s="57"/>
      <c r="J48" s="266"/>
      <c r="K48" s="266"/>
      <c r="L48" s="266"/>
      <c r="M48" s="266"/>
      <c r="N48" s="266"/>
      <c r="O48" s="216">
        <f>(J48+K48)*$Y$3</f>
        <v>0</v>
      </c>
      <c r="P48" s="216"/>
      <c r="Q48" s="195"/>
      <c r="R48" s="57"/>
      <c r="S48" s="57"/>
      <c r="T48" s="266"/>
      <c r="U48" s="266"/>
      <c r="V48" s="266"/>
      <c r="W48" s="266"/>
      <c r="Y48" s="216">
        <f t="shared" ref="Y48:Y55" si="10">(T48+U48)*$Y$3</f>
        <v>0</v>
      </c>
      <c r="Z48" s="216"/>
    </row>
    <row r="49" spans="4:26" x14ac:dyDescent="0.3">
      <c r="G49" s="265"/>
      <c r="H49" s="228">
        <f t="shared" si="9"/>
        <v>0</v>
      </c>
      <c r="I49" s="57"/>
      <c r="J49" s="266"/>
      <c r="K49" s="266"/>
      <c r="L49" s="266"/>
      <c r="M49" s="266"/>
      <c r="N49" s="266"/>
      <c r="O49" s="216">
        <f>(J49+K49)*$Y$3</f>
        <v>0</v>
      </c>
      <c r="P49" s="216"/>
      <c r="Q49" s="195"/>
      <c r="R49" s="57"/>
      <c r="S49" s="57"/>
      <c r="T49" s="266"/>
      <c r="U49" s="266"/>
      <c r="V49" s="266"/>
      <c r="W49" s="266"/>
      <c r="Y49" s="216">
        <f t="shared" si="10"/>
        <v>0</v>
      </c>
      <c r="Z49" s="216"/>
    </row>
    <row r="50" spans="4:26" ht="15" thickBot="1" x14ac:dyDescent="0.35">
      <c r="G50" s="265"/>
      <c r="H50" s="228">
        <f t="shared" si="9"/>
        <v>0</v>
      </c>
      <c r="I50" s="81"/>
      <c r="J50" s="269"/>
      <c r="K50" s="269"/>
      <c r="L50" s="269"/>
      <c r="M50" s="269"/>
      <c r="N50" s="269"/>
      <c r="O50" s="216">
        <f>(J50+K50)*$Y$3</f>
        <v>0</v>
      </c>
      <c r="P50" s="216"/>
      <c r="Q50" s="226"/>
      <c r="R50" s="81"/>
      <c r="S50" s="81"/>
      <c r="T50" s="269"/>
      <c r="U50" s="269"/>
      <c r="V50" s="269"/>
      <c r="W50" s="269"/>
      <c r="X50" s="261"/>
      <c r="Y50" s="216">
        <f t="shared" si="10"/>
        <v>0</v>
      </c>
      <c r="Z50" s="216"/>
    </row>
    <row r="51" spans="4:26" ht="15" thickBot="1" x14ac:dyDescent="0.35">
      <c r="G51" s="250" t="s">
        <v>248</v>
      </c>
      <c r="H51" s="184" t="s">
        <v>69</v>
      </c>
      <c r="I51" s="185" t="s">
        <v>237</v>
      </c>
      <c r="J51" s="186" t="s">
        <v>228</v>
      </c>
      <c r="K51" s="187" t="s">
        <v>204</v>
      </c>
      <c r="L51" s="187" t="s">
        <v>100</v>
      </c>
      <c r="M51" s="187" t="s">
        <v>205</v>
      </c>
      <c r="N51" s="187" t="s">
        <v>206</v>
      </c>
      <c r="O51" s="188" t="s">
        <v>27</v>
      </c>
      <c r="P51" s="188" t="s">
        <v>236</v>
      </c>
      <c r="Q51" s="189"/>
      <c r="R51" s="185" t="s">
        <v>41</v>
      </c>
      <c r="S51" s="230" t="s">
        <v>237</v>
      </c>
      <c r="T51" s="186" t="s">
        <v>228</v>
      </c>
      <c r="U51" s="187" t="s">
        <v>204</v>
      </c>
      <c r="V51" s="187" t="s">
        <v>100</v>
      </c>
      <c r="W51" s="187" t="s">
        <v>205</v>
      </c>
      <c r="X51" s="187" t="s">
        <v>206</v>
      </c>
      <c r="Y51" s="188" t="s">
        <v>27</v>
      </c>
      <c r="Z51" s="188" t="s">
        <v>236</v>
      </c>
    </row>
    <row r="52" spans="4:26" x14ac:dyDescent="0.3">
      <c r="G52" s="270" t="s">
        <v>251</v>
      </c>
      <c r="H52" s="231">
        <f t="shared" si="9"/>
        <v>0</v>
      </c>
      <c r="I52" s="29"/>
      <c r="O52" s="211">
        <f>(J52+K52)*$Y$3</f>
        <v>0</v>
      </c>
      <c r="P52" s="211"/>
      <c r="Q52" s="195"/>
      <c r="R52" s="70"/>
      <c r="Y52" s="211">
        <f t="shared" si="10"/>
        <v>0</v>
      </c>
      <c r="Z52" s="211"/>
    </row>
    <row r="53" spans="4:26" ht="15" thickBot="1" x14ac:dyDescent="0.35">
      <c r="G53" s="273" t="s">
        <v>173</v>
      </c>
      <c r="H53" s="225">
        <f t="shared" si="9"/>
        <v>0</v>
      </c>
      <c r="I53" s="81"/>
      <c r="J53" s="269"/>
      <c r="K53" s="269"/>
      <c r="L53" s="269"/>
      <c r="M53" s="269"/>
      <c r="N53" s="269"/>
      <c r="O53" s="232">
        <f>(J53+K53)*$Y$3</f>
        <v>0</v>
      </c>
      <c r="P53" s="232"/>
      <c r="Q53" s="226"/>
      <c r="R53" s="260"/>
      <c r="S53" s="261"/>
      <c r="T53" s="261"/>
      <c r="U53" s="261"/>
      <c r="V53" s="261"/>
      <c r="W53" s="261"/>
      <c r="X53" s="261"/>
      <c r="Y53" s="232">
        <f t="shared" si="10"/>
        <v>0</v>
      </c>
      <c r="Z53" s="232"/>
    </row>
    <row r="54" spans="4:26" x14ac:dyDescent="0.3">
      <c r="G54" s="270" t="s">
        <v>251</v>
      </c>
      <c r="H54" s="231">
        <f t="shared" si="9"/>
        <v>0</v>
      </c>
      <c r="I54" s="93"/>
      <c r="J54" s="271"/>
      <c r="K54" s="271"/>
      <c r="L54" s="271"/>
      <c r="M54" s="271"/>
      <c r="N54" s="271"/>
      <c r="O54" s="233">
        <f>(J54+K54)*$Y$3</f>
        <v>0</v>
      </c>
      <c r="P54" s="233"/>
      <c r="Q54" s="200"/>
      <c r="R54" s="28"/>
      <c r="S54" s="28"/>
      <c r="T54" s="274"/>
      <c r="U54" s="274"/>
      <c r="V54" s="274"/>
      <c r="W54" s="274"/>
      <c r="X54" s="274"/>
      <c r="Y54" s="233">
        <f t="shared" si="10"/>
        <v>0</v>
      </c>
      <c r="Z54" s="233"/>
    </row>
    <row r="55" spans="4:26" ht="15" thickBot="1" x14ac:dyDescent="0.35">
      <c r="G55" s="275" t="s">
        <v>173</v>
      </c>
      <c r="H55" s="225">
        <f t="shared" si="9"/>
        <v>0</v>
      </c>
      <c r="I55" s="30"/>
      <c r="J55" s="261"/>
      <c r="K55" s="261"/>
      <c r="L55" s="261"/>
      <c r="M55" s="261"/>
      <c r="N55" s="261"/>
      <c r="O55" s="232">
        <f>(J55+K55)*$Y$3</f>
        <v>0</v>
      </c>
      <c r="P55" s="232"/>
      <c r="Q55" s="226"/>
      <c r="R55" s="30"/>
      <c r="S55" s="30"/>
      <c r="T55" s="261"/>
      <c r="U55" s="261"/>
      <c r="V55" s="261"/>
      <c r="W55" s="261"/>
      <c r="X55" s="261"/>
      <c r="Y55" s="232">
        <f t="shared" si="10"/>
        <v>0</v>
      </c>
      <c r="Z55" s="232"/>
    </row>
    <row r="56" spans="4:26" ht="15" thickBot="1" x14ac:dyDescent="0.35"/>
    <row r="57" spans="4:26" ht="15" thickBot="1" x14ac:dyDescent="0.35">
      <c r="G57" s="250" t="s">
        <v>290</v>
      </c>
      <c r="H57" s="184" t="s">
        <v>69</v>
      </c>
      <c r="I57" s="185" t="s">
        <v>237</v>
      </c>
      <c r="J57" s="186" t="s">
        <v>228</v>
      </c>
      <c r="K57" s="187" t="s">
        <v>204</v>
      </c>
      <c r="L57" s="187" t="s">
        <v>100</v>
      </c>
      <c r="M57" s="187" t="s">
        <v>205</v>
      </c>
      <c r="N57" s="187" t="s">
        <v>206</v>
      </c>
      <c r="O57" s="188" t="s">
        <v>27</v>
      </c>
      <c r="P57" s="188" t="s">
        <v>236</v>
      </c>
      <c r="Q57" s="189"/>
      <c r="R57" s="185" t="s">
        <v>41</v>
      </c>
      <c r="S57" s="185" t="s">
        <v>237</v>
      </c>
      <c r="T57" s="186" t="s">
        <v>228</v>
      </c>
      <c r="U57" s="187" t="s">
        <v>204</v>
      </c>
      <c r="V57" s="187" t="s">
        <v>100</v>
      </c>
      <c r="W57" s="187" t="s">
        <v>205</v>
      </c>
      <c r="X57" s="187" t="s">
        <v>206</v>
      </c>
      <c r="Y57" s="188" t="s">
        <v>27</v>
      </c>
      <c r="Z57" s="188" t="s">
        <v>236</v>
      </c>
    </row>
    <row r="58" spans="4:26" ht="15" thickBot="1" x14ac:dyDescent="0.35">
      <c r="G58" s="264" t="s">
        <v>238</v>
      </c>
      <c r="H58" s="190" t="s">
        <v>239</v>
      </c>
      <c r="I58" s="191"/>
      <c r="J58" s="192"/>
      <c r="K58" s="192"/>
      <c r="L58" s="192"/>
      <c r="M58" s="192"/>
      <c r="N58" s="193"/>
      <c r="O58" s="194"/>
      <c r="P58" s="194"/>
      <c r="Q58" s="195"/>
      <c r="R58" s="191"/>
      <c r="S58" s="191"/>
      <c r="T58" s="192"/>
      <c r="U58" s="192"/>
      <c r="V58" s="192"/>
      <c r="W58" s="192"/>
      <c r="X58" s="193"/>
      <c r="Y58" s="194"/>
      <c r="Z58" s="194"/>
    </row>
    <row r="59" spans="4:26" x14ac:dyDescent="0.3">
      <c r="G59" s="255" t="s">
        <v>240</v>
      </c>
      <c r="H59" s="196" t="s">
        <v>239</v>
      </c>
      <c r="I59" s="197"/>
      <c r="J59" s="26"/>
      <c r="K59" s="26"/>
      <c r="L59" s="26"/>
      <c r="M59" s="26"/>
      <c r="N59" s="39"/>
      <c r="O59" s="198"/>
      <c r="P59" s="198"/>
      <c r="Q59" s="195"/>
      <c r="R59" s="197"/>
      <c r="S59" s="197"/>
      <c r="T59" s="26"/>
      <c r="U59" s="26"/>
      <c r="V59" s="26"/>
      <c r="W59" s="26"/>
      <c r="X59" s="39"/>
      <c r="Y59" s="198"/>
      <c r="Z59" s="198"/>
    </row>
    <row r="60" spans="4:26" x14ac:dyDescent="0.3">
      <c r="G60" s="202" t="s">
        <v>417</v>
      </c>
      <c r="H60" s="196" t="s">
        <v>239</v>
      </c>
      <c r="I60" s="197"/>
      <c r="J60" s="26"/>
      <c r="K60" s="26"/>
      <c r="L60" s="26"/>
      <c r="M60" s="26"/>
      <c r="N60" s="39"/>
      <c r="O60" s="198"/>
      <c r="P60" s="198"/>
      <c r="Q60" s="195"/>
      <c r="R60" s="197"/>
      <c r="S60" s="197"/>
      <c r="T60" s="26"/>
      <c r="U60" s="26"/>
      <c r="V60" s="26"/>
      <c r="W60" s="26"/>
      <c r="X60" s="39"/>
      <c r="Y60" s="198"/>
      <c r="Z60" s="198"/>
    </row>
    <row r="61" spans="4:26" ht="15" thickBot="1" x14ac:dyDescent="0.35">
      <c r="D61" s="241" t="s">
        <v>418</v>
      </c>
      <c r="E61" s="241">
        <f>G61*50</f>
        <v>1050</v>
      </c>
      <c r="G61" s="202">
        <f>SUM(H65:H95)</f>
        <v>21</v>
      </c>
      <c r="H61" s="196" t="s">
        <v>239</v>
      </c>
      <c r="I61" s="197"/>
      <c r="J61" s="26"/>
      <c r="K61" s="26"/>
      <c r="L61" s="26"/>
      <c r="M61" s="26"/>
      <c r="N61" s="39"/>
      <c r="O61" s="198"/>
      <c r="P61" s="198"/>
      <c r="Q61" s="195"/>
      <c r="R61" s="197"/>
      <c r="S61" s="197"/>
      <c r="T61" s="26"/>
      <c r="U61" s="26"/>
      <c r="V61" s="26"/>
      <c r="W61" s="26"/>
      <c r="X61" s="39"/>
      <c r="Y61" s="198"/>
      <c r="Z61" s="198"/>
    </row>
    <row r="62" spans="4:26" ht="15" thickBot="1" x14ac:dyDescent="0.35">
      <c r="G62" s="250" t="s">
        <v>252</v>
      </c>
      <c r="H62" s="184" t="s">
        <v>69</v>
      </c>
      <c r="I62" s="185" t="s">
        <v>237</v>
      </c>
      <c r="J62" s="186" t="s">
        <v>228</v>
      </c>
      <c r="K62" s="187" t="s">
        <v>204</v>
      </c>
      <c r="L62" s="187" t="s">
        <v>100</v>
      </c>
      <c r="M62" s="187" t="s">
        <v>205</v>
      </c>
      <c r="N62" s="187" t="s">
        <v>206</v>
      </c>
      <c r="O62" s="188" t="s">
        <v>27</v>
      </c>
      <c r="P62" s="188" t="s">
        <v>236</v>
      </c>
      <c r="Q62" s="189"/>
      <c r="R62" s="185" t="s">
        <v>41</v>
      </c>
      <c r="S62" s="185" t="s">
        <v>237</v>
      </c>
      <c r="T62" s="186" t="s">
        <v>228</v>
      </c>
      <c r="U62" s="187" t="s">
        <v>204</v>
      </c>
      <c r="V62" s="187" t="s">
        <v>100</v>
      </c>
      <c r="W62" s="187" t="s">
        <v>205</v>
      </c>
      <c r="X62" s="187" t="s">
        <v>206</v>
      </c>
      <c r="Y62" s="188" t="s">
        <v>27</v>
      </c>
      <c r="Z62" s="188" t="s">
        <v>236</v>
      </c>
    </row>
    <row r="63" spans="4:26" ht="15" thickBot="1" x14ac:dyDescent="0.35">
      <c r="G63" s="264" t="s">
        <v>414</v>
      </c>
      <c r="H63" s="118" t="s">
        <v>239</v>
      </c>
      <c r="I63" s="539" t="s">
        <v>492</v>
      </c>
      <c r="J63" s="540"/>
      <c r="K63" s="540"/>
      <c r="L63" s="540">
        <v>1</v>
      </c>
      <c r="M63" s="540">
        <v>1</v>
      </c>
      <c r="N63" s="153"/>
      <c r="O63" s="156"/>
      <c r="P63" s="156"/>
      <c r="Q63" s="200"/>
      <c r="R63" s="201"/>
      <c r="S63" s="201"/>
      <c r="T63" s="137"/>
      <c r="U63" s="137"/>
      <c r="V63" s="137"/>
      <c r="W63" s="137"/>
      <c r="X63" s="153"/>
      <c r="Y63" s="156"/>
      <c r="Z63" s="156"/>
    </row>
    <row r="64" spans="4:26" ht="15" thickBot="1" x14ac:dyDescent="0.35">
      <c r="G64" s="202"/>
      <c r="H64" s="227" t="s">
        <v>239</v>
      </c>
      <c r="I64" s="541"/>
      <c r="J64" s="542"/>
      <c r="K64" s="542"/>
      <c r="L64" s="542"/>
      <c r="M64" s="542"/>
      <c r="N64" s="206"/>
      <c r="O64" s="207"/>
      <c r="P64" s="207"/>
      <c r="Q64" s="208"/>
      <c r="R64" s="235"/>
      <c r="S64" s="235"/>
      <c r="T64" s="236"/>
      <c r="U64" s="236"/>
      <c r="V64" s="236"/>
      <c r="W64" s="236"/>
      <c r="X64" s="106"/>
      <c r="Y64" s="207"/>
      <c r="Z64" s="207"/>
    </row>
    <row r="65" spans="7:29" ht="15" thickBot="1" x14ac:dyDescent="0.35">
      <c r="G65" s="264"/>
      <c r="H65" s="231">
        <f>MAX(K65:N65)+MAX(U65:X65)</f>
        <v>5</v>
      </c>
      <c r="I65" s="266" t="s">
        <v>89</v>
      </c>
      <c r="J65" s="266"/>
      <c r="K65" s="266"/>
      <c r="L65" s="266"/>
      <c r="M65" s="266">
        <v>1</v>
      </c>
      <c r="N65" s="266">
        <v>2</v>
      </c>
      <c r="O65" s="526">
        <f t="shared" ref="O65:O95" si="11">(J65+K65)*$Y$3</f>
        <v>0</v>
      </c>
      <c r="P65" s="526"/>
      <c r="Q65" s="527"/>
      <c r="R65" s="351" t="s">
        <v>274</v>
      </c>
      <c r="S65" s="271" t="s">
        <v>460</v>
      </c>
      <c r="T65" s="271">
        <v>3</v>
      </c>
      <c r="U65" s="271"/>
      <c r="V65" s="271">
        <v>3</v>
      </c>
      <c r="W65" s="271">
        <v>3</v>
      </c>
      <c r="X65" s="62"/>
      <c r="Y65" s="324">
        <f t="shared" ref="Y65:Y93" si="12">SUM(T65:U65)*$Y$3</f>
        <v>1.5</v>
      </c>
      <c r="Z65" s="216"/>
    </row>
    <row r="66" spans="7:29" x14ac:dyDescent="0.3">
      <c r="G66" s="202" t="s">
        <v>242</v>
      </c>
      <c r="H66" s="210">
        <f>MAX(K66:N66)+MAX(U66:X66)</f>
        <v>0</v>
      </c>
      <c r="I66" s="266" t="s">
        <v>289</v>
      </c>
      <c r="J66" s="266">
        <v>1</v>
      </c>
      <c r="K66" s="266"/>
      <c r="L66" s="266"/>
      <c r="M66" s="266"/>
      <c r="N66" s="266"/>
      <c r="O66" s="526">
        <f t="shared" si="11"/>
        <v>0.5</v>
      </c>
      <c r="P66" s="526"/>
      <c r="Q66" s="527"/>
      <c r="R66" s="276" t="s">
        <v>275</v>
      </c>
      <c r="S66" s="349" t="s">
        <v>53</v>
      </c>
      <c r="T66" s="466">
        <v>2</v>
      </c>
      <c r="U66" s="466"/>
      <c r="V66" s="466"/>
      <c r="W66" s="466"/>
      <c r="X66" s="467"/>
      <c r="Y66" s="324">
        <f t="shared" si="12"/>
        <v>1</v>
      </c>
      <c r="Z66" s="216"/>
    </row>
    <row r="67" spans="7:29" x14ac:dyDescent="0.3">
      <c r="G67" s="202">
        <f>SUM(H65:H79)</f>
        <v>17</v>
      </c>
      <c r="H67" s="210">
        <f>MAX(K67:N67)+MAX(U67:X67)</f>
        <v>1</v>
      </c>
      <c r="I67" s="266"/>
      <c r="J67" s="266"/>
      <c r="K67" s="266"/>
      <c r="L67" s="266"/>
      <c r="M67" s="266"/>
      <c r="N67" s="266"/>
      <c r="O67" s="526">
        <f t="shared" si="11"/>
        <v>0</v>
      </c>
      <c r="P67" s="526"/>
      <c r="Q67" s="527"/>
      <c r="R67" s="465"/>
      <c r="S67" s="65" t="s">
        <v>138</v>
      </c>
      <c r="T67" s="49"/>
      <c r="U67" s="66">
        <v>1</v>
      </c>
      <c r="V67" s="49"/>
      <c r="W67" s="49"/>
      <c r="X67" s="48"/>
      <c r="Y67" s="324">
        <f t="shared" si="12"/>
        <v>0.5</v>
      </c>
      <c r="Z67" s="216"/>
    </row>
    <row r="68" spans="7:29" x14ac:dyDescent="0.3">
      <c r="G68" s="202"/>
      <c r="H68" s="210">
        <f t="shared" ref="H68:H78" si="13">MAX(K68:N68)+MAX(V68:X68)</f>
        <v>0</v>
      </c>
      <c r="I68" s="355" t="s">
        <v>495</v>
      </c>
      <c r="J68" s="309">
        <v>2</v>
      </c>
      <c r="K68" s="309"/>
      <c r="L68" s="309"/>
      <c r="M68" s="309"/>
      <c r="N68" s="356"/>
      <c r="O68" s="526">
        <f t="shared" si="11"/>
        <v>1</v>
      </c>
      <c r="P68" s="526"/>
      <c r="Q68" s="527"/>
      <c r="R68" s="465"/>
      <c r="S68" s="65" t="s">
        <v>140</v>
      </c>
      <c r="T68" s="49">
        <v>1</v>
      </c>
      <c r="U68" s="66"/>
      <c r="V68" s="49"/>
      <c r="W68" s="49"/>
      <c r="X68" s="48"/>
      <c r="Y68" s="324">
        <f t="shared" si="12"/>
        <v>0.5</v>
      </c>
      <c r="Z68" s="216"/>
    </row>
    <row r="69" spans="7:29" x14ac:dyDescent="0.3">
      <c r="G69" s="202"/>
      <c r="H69" s="210">
        <f t="shared" si="13"/>
        <v>1</v>
      </c>
      <c r="I69" s="357" t="s">
        <v>42</v>
      </c>
      <c r="J69" s="66"/>
      <c r="K69" s="66">
        <v>1</v>
      </c>
      <c r="L69" s="66"/>
      <c r="M69" s="66">
        <v>1</v>
      </c>
      <c r="N69" s="133"/>
      <c r="O69" s="526">
        <f t="shared" si="11"/>
        <v>0.5</v>
      </c>
      <c r="P69" s="528"/>
      <c r="Q69" s="527"/>
      <c r="R69" s="465"/>
      <c r="S69" s="65" t="s">
        <v>530</v>
      </c>
      <c r="T69" s="49"/>
      <c r="U69" s="66">
        <v>1</v>
      </c>
      <c r="V69" s="49"/>
      <c r="W69" s="49"/>
      <c r="X69" s="48"/>
      <c r="Y69" s="324">
        <f t="shared" si="12"/>
        <v>0.5</v>
      </c>
      <c r="Z69" s="234"/>
    </row>
    <row r="70" spans="7:29" x14ac:dyDescent="0.3">
      <c r="G70" s="202"/>
      <c r="H70" s="210">
        <f t="shared" si="13"/>
        <v>1</v>
      </c>
      <c r="I70" s="357" t="s">
        <v>45</v>
      </c>
      <c r="J70" s="66"/>
      <c r="K70" s="66">
        <v>1</v>
      </c>
      <c r="L70" s="66"/>
      <c r="M70" s="66"/>
      <c r="N70" s="133"/>
      <c r="O70" s="526">
        <f t="shared" si="11"/>
        <v>0.5</v>
      </c>
      <c r="P70" s="528"/>
      <c r="Q70" s="527"/>
      <c r="R70" s="465"/>
      <c r="S70" s="65" t="s">
        <v>91</v>
      </c>
      <c r="T70" s="49"/>
      <c r="U70" s="66">
        <v>1</v>
      </c>
      <c r="V70" s="49"/>
      <c r="W70" s="49"/>
      <c r="X70" s="48"/>
      <c r="Y70" s="324">
        <f t="shared" si="12"/>
        <v>0.5</v>
      </c>
      <c r="Z70" s="234"/>
    </row>
    <row r="71" spans="7:29" x14ac:dyDescent="0.3">
      <c r="G71" s="202"/>
      <c r="H71" s="210">
        <f t="shared" si="13"/>
        <v>0</v>
      </c>
      <c r="I71" s="357"/>
      <c r="J71" s="66"/>
      <c r="K71" s="66"/>
      <c r="L71" s="66"/>
      <c r="M71" s="66"/>
      <c r="N71" s="133"/>
      <c r="O71" s="526">
        <f t="shared" si="11"/>
        <v>0</v>
      </c>
      <c r="P71" s="528"/>
      <c r="Q71" s="527"/>
      <c r="R71" s="465"/>
      <c r="S71" s="65" t="s">
        <v>45</v>
      </c>
      <c r="T71" s="49"/>
      <c r="U71" s="66">
        <v>1</v>
      </c>
      <c r="V71" s="49"/>
      <c r="W71" s="49"/>
      <c r="X71" s="48"/>
      <c r="Y71" s="324">
        <f t="shared" si="12"/>
        <v>0.5</v>
      </c>
      <c r="Z71" s="234"/>
    </row>
    <row r="72" spans="7:29" ht="15" thickBot="1" x14ac:dyDescent="0.35">
      <c r="G72" s="202"/>
      <c r="H72" s="210">
        <f t="shared" si="13"/>
        <v>0</v>
      </c>
      <c r="I72" s="357"/>
      <c r="J72" s="66"/>
      <c r="K72" s="66"/>
      <c r="L72" s="66"/>
      <c r="M72" s="66"/>
      <c r="N72" s="133"/>
      <c r="O72" s="526">
        <f t="shared" si="11"/>
        <v>0</v>
      </c>
      <c r="P72" s="528"/>
      <c r="Q72" s="527"/>
      <c r="R72" s="476"/>
      <c r="S72" s="68"/>
      <c r="T72" s="33"/>
      <c r="U72" s="69"/>
      <c r="V72" s="33"/>
      <c r="W72" s="33"/>
      <c r="X72" s="470"/>
      <c r="Y72" s="324">
        <f t="shared" si="12"/>
        <v>0</v>
      </c>
      <c r="Z72" s="234"/>
    </row>
    <row r="73" spans="7:29" x14ac:dyDescent="0.3">
      <c r="G73" s="202"/>
      <c r="H73" s="210">
        <f t="shared" si="13"/>
        <v>3</v>
      </c>
      <c r="I73" s="357" t="s">
        <v>323</v>
      </c>
      <c r="J73" s="66"/>
      <c r="K73" s="66">
        <v>2</v>
      </c>
      <c r="L73" s="66"/>
      <c r="M73" s="66"/>
      <c r="N73" s="133"/>
      <c r="O73" s="526">
        <f t="shared" si="11"/>
        <v>1</v>
      </c>
      <c r="P73" s="528"/>
      <c r="Q73" s="527"/>
      <c r="R73" s="265" t="s">
        <v>60</v>
      </c>
      <c r="S73" s="259" t="s">
        <v>378</v>
      </c>
      <c r="T73" s="253"/>
      <c r="U73" s="259">
        <v>1</v>
      </c>
      <c r="V73" s="253"/>
      <c r="W73" s="253"/>
      <c r="X73" s="254">
        <v>1</v>
      </c>
      <c r="Y73" s="324">
        <f t="shared" si="12"/>
        <v>0.5</v>
      </c>
      <c r="Z73" s="234"/>
      <c r="AC73" s="256"/>
    </row>
    <row r="74" spans="7:29" x14ac:dyDescent="0.3">
      <c r="G74" s="202"/>
      <c r="H74" s="210">
        <f t="shared" si="13"/>
        <v>0</v>
      </c>
      <c r="I74" s="529" t="s">
        <v>500</v>
      </c>
      <c r="J74" s="360">
        <v>9</v>
      </c>
      <c r="K74" s="360"/>
      <c r="L74" s="360"/>
      <c r="M74" s="360"/>
      <c r="N74" s="361"/>
      <c r="O74" s="526">
        <f t="shared" si="11"/>
        <v>4.5</v>
      </c>
      <c r="P74" s="528"/>
      <c r="Q74" s="527"/>
      <c r="R74" s="265"/>
      <c r="S74" s="259"/>
      <c r="T74" s="253"/>
      <c r="U74" s="259"/>
      <c r="V74" s="253"/>
      <c r="W74" s="253"/>
      <c r="X74" s="254"/>
      <c r="Y74" s="324">
        <f t="shared" si="12"/>
        <v>0</v>
      </c>
      <c r="Z74" s="234"/>
    </row>
    <row r="75" spans="7:29" x14ac:dyDescent="0.3">
      <c r="G75" s="202"/>
      <c r="H75" s="210">
        <f t="shared" si="13"/>
        <v>1</v>
      </c>
      <c r="I75" s="358" t="s">
        <v>523</v>
      </c>
      <c r="J75" s="314">
        <v>2</v>
      </c>
      <c r="K75" s="314"/>
      <c r="L75" s="314"/>
      <c r="M75" s="314"/>
      <c r="N75" s="359">
        <v>1</v>
      </c>
      <c r="O75" s="526">
        <f t="shared" si="11"/>
        <v>1</v>
      </c>
      <c r="P75" s="528"/>
      <c r="Q75" s="527"/>
      <c r="R75" s="265"/>
      <c r="S75" s="259"/>
      <c r="T75" s="253"/>
      <c r="U75" s="259"/>
      <c r="V75" s="253"/>
      <c r="W75" s="253"/>
      <c r="X75" s="254"/>
      <c r="Y75" s="324">
        <f t="shared" si="12"/>
        <v>0</v>
      </c>
      <c r="Z75" s="234"/>
      <c r="AC75" s="256"/>
    </row>
    <row r="76" spans="7:29" x14ac:dyDescent="0.3">
      <c r="G76" s="202"/>
      <c r="H76" s="210">
        <f t="shared" si="13"/>
        <v>2</v>
      </c>
      <c r="I76" s="266" t="s">
        <v>84</v>
      </c>
      <c r="J76" s="266"/>
      <c r="K76" s="266"/>
      <c r="L76" s="266">
        <v>2</v>
      </c>
      <c r="M76" s="266">
        <v>1</v>
      </c>
      <c r="N76" s="266"/>
      <c r="O76" s="526">
        <f t="shared" si="11"/>
        <v>0</v>
      </c>
      <c r="P76" s="528"/>
      <c r="Q76" s="527"/>
      <c r="R76" s="265"/>
      <c r="S76" s="259"/>
      <c r="T76" s="253"/>
      <c r="U76" s="259"/>
      <c r="V76" s="253"/>
      <c r="W76" s="253"/>
      <c r="X76" s="254"/>
      <c r="Y76" s="324">
        <f t="shared" si="12"/>
        <v>0</v>
      </c>
      <c r="Z76" s="234"/>
    </row>
    <row r="77" spans="7:29" x14ac:dyDescent="0.3">
      <c r="G77" s="202"/>
      <c r="H77" s="210">
        <f t="shared" si="13"/>
        <v>2</v>
      </c>
      <c r="I77" s="266" t="s">
        <v>54</v>
      </c>
      <c r="J77" s="266"/>
      <c r="K77" s="266"/>
      <c r="L77" s="266">
        <v>2</v>
      </c>
      <c r="M77" s="266">
        <v>1</v>
      </c>
      <c r="N77" s="266"/>
      <c r="O77" s="526">
        <f t="shared" si="11"/>
        <v>0</v>
      </c>
      <c r="P77" s="528"/>
      <c r="Q77" s="527"/>
      <c r="R77" s="265"/>
      <c r="S77" s="259"/>
      <c r="T77" s="253"/>
      <c r="U77" s="259"/>
      <c r="V77" s="253"/>
      <c r="W77" s="253"/>
      <c r="X77" s="254"/>
      <c r="Y77" s="324">
        <f t="shared" si="12"/>
        <v>0</v>
      </c>
      <c r="Z77" s="234"/>
    </row>
    <row r="78" spans="7:29" x14ac:dyDescent="0.3">
      <c r="G78" s="202"/>
      <c r="H78" s="210">
        <f t="shared" si="13"/>
        <v>1</v>
      </c>
      <c r="I78" s="266" t="s">
        <v>406</v>
      </c>
      <c r="J78" s="266"/>
      <c r="K78" s="266"/>
      <c r="L78" s="266">
        <v>1</v>
      </c>
      <c r="M78" s="266">
        <v>1</v>
      </c>
      <c r="N78" s="266"/>
      <c r="O78" s="526">
        <f t="shared" si="11"/>
        <v>0</v>
      </c>
      <c r="P78" s="528"/>
      <c r="Q78" s="527"/>
      <c r="R78" s="265"/>
      <c r="S78" s="259"/>
      <c r="T78" s="253"/>
      <c r="U78" s="259"/>
      <c r="V78" s="253"/>
      <c r="W78" s="253"/>
      <c r="X78" s="254"/>
      <c r="Y78" s="324">
        <f t="shared" si="12"/>
        <v>0</v>
      </c>
      <c r="Z78" s="234"/>
    </row>
    <row r="79" spans="7:29" ht="15" thickBot="1" x14ac:dyDescent="0.35">
      <c r="G79" s="202"/>
      <c r="H79" s="210"/>
      <c r="I79" s="266"/>
      <c r="J79" s="266"/>
      <c r="K79" s="266"/>
      <c r="L79" s="266"/>
      <c r="M79" s="266"/>
      <c r="N79" s="266"/>
      <c r="O79" s="526"/>
      <c r="P79" s="528"/>
      <c r="Q79" s="527"/>
      <c r="R79" s="265"/>
      <c r="S79" s="259"/>
      <c r="T79" s="253"/>
      <c r="U79" s="259"/>
      <c r="V79" s="253"/>
      <c r="W79" s="253"/>
      <c r="X79" s="254"/>
      <c r="Y79" s="324"/>
      <c r="Z79" s="234"/>
    </row>
    <row r="80" spans="7:29" ht="15" thickBot="1" x14ac:dyDescent="0.35">
      <c r="G80" s="183" t="s">
        <v>258</v>
      </c>
      <c r="H80" s="184" t="s">
        <v>69</v>
      </c>
      <c r="I80" s="486" t="s">
        <v>237</v>
      </c>
      <c r="J80" s="493" t="s">
        <v>228</v>
      </c>
      <c r="K80" s="490" t="s">
        <v>204</v>
      </c>
      <c r="L80" s="490" t="s">
        <v>100</v>
      </c>
      <c r="M80" s="490" t="s">
        <v>205</v>
      </c>
      <c r="N80" s="490" t="s">
        <v>206</v>
      </c>
      <c r="O80" s="530" t="s">
        <v>27</v>
      </c>
      <c r="P80" s="530" t="s">
        <v>236</v>
      </c>
      <c r="Q80" s="446"/>
      <c r="R80" s="486" t="s">
        <v>41</v>
      </c>
      <c r="S80" s="486" t="s">
        <v>237</v>
      </c>
      <c r="T80" s="154" t="s">
        <v>228</v>
      </c>
      <c r="U80" s="187" t="s">
        <v>204</v>
      </c>
      <c r="V80" s="187" t="s">
        <v>100</v>
      </c>
      <c r="W80" s="187" t="s">
        <v>205</v>
      </c>
      <c r="X80" s="187" t="s">
        <v>206</v>
      </c>
      <c r="Y80" s="188" t="s">
        <v>27</v>
      </c>
      <c r="Z80" s="188" t="s">
        <v>236</v>
      </c>
    </row>
    <row r="81" spans="7:26" ht="15" thickBot="1" x14ac:dyDescent="0.35">
      <c r="G81" s="264" t="s">
        <v>415</v>
      </c>
      <c r="H81" s="118" t="s">
        <v>239</v>
      </c>
      <c r="I81" s="487"/>
      <c r="J81" s="491"/>
      <c r="K81" s="491"/>
      <c r="L81" s="491"/>
      <c r="M81" s="491"/>
      <c r="N81" s="531"/>
      <c r="O81" s="532"/>
      <c r="P81" s="532"/>
      <c r="Q81" s="533"/>
      <c r="R81" s="487"/>
      <c r="S81" s="487"/>
      <c r="T81" s="137"/>
      <c r="U81" s="137"/>
      <c r="V81" s="137"/>
      <c r="W81" s="137"/>
      <c r="X81" s="153"/>
      <c r="Y81" s="156"/>
      <c r="Z81" s="156"/>
    </row>
    <row r="82" spans="7:26" x14ac:dyDescent="0.3">
      <c r="G82" s="202" t="s">
        <v>242</v>
      </c>
      <c r="H82" s="227" t="s">
        <v>239</v>
      </c>
      <c r="I82" s="488"/>
      <c r="J82" s="492"/>
      <c r="K82" s="492"/>
      <c r="L82" s="492"/>
      <c r="M82" s="492"/>
      <c r="N82" s="534"/>
      <c r="O82" s="535"/>
      <c r="P82" s="535"/>
      <c r="Q82" s="536"/>
      <c r="R82" s="488"/>
      <c r="S82" s="488"/>
      <c r="T82" s="205"/>
      <c r="U82" s="205"/>
      <c r="V82" s="205"/>
      <c r="W82" s="205"/>
      <c r="X82" s="206"/>
      <c r="Y82" s="207"/>
      <c r="Z82" s="207"/>
    </row>
    <row r="83" spans="7:26" x14ac:dyDescent="0.3">
      <c r="G83" s="202">
        <f>SUM(H83:H93)</f>
        <v>4</v>
      </c>
      <c r="H83" s="228">
        <f t="shared" ref="H83:H90" si="14">MAX(K83:N83)+MAX(U83:X83)</f>
        <v>2</v>
      </c>
      <c r="I83" s="57" t="s">
        <v>416</v>
      </c>
      <c r="J83" s="266">
        <v>1</v>
      </c>
      <c r="K83" s="266">
        <v>2</v>
      </c>
      <c r="L83" s="266"/>
      <c r="M83" s="266"/>
      <c r="N83" s="266"/>
      <c r="O83" s="537">
        <f t="shared" ref="O83:O90" si="15">(J83+K83)*$Y$3</f>
        <v>1.5</v>
      </c>
      <c r="P83" s="537"/>
      <c r="Q83" s="538"/>
      <c r="R83" s="500"/>
      <c r="S83" s="500"/>
      <c r="T83" s="213"/>
      <c r="U83" s="213"/>
      <c r="V83" s="213"/>
      <c r="W83" s="213"/>
      <c r="X83" s="214"/>
      <c r="Y83" s="211">
        <f t="shared" ref="Y83:Y90" si="16">(T83+U83)*$Y$3</f>
        <v>0</v>
      </c>
      <c r="Z83" s="211"/>
    </row>
    <row r="84" spans="7:26" x14ac:dyDescent="0.3">
      <c r="G84" s="265"/>
      <c r="H84" s="228">
        <f t="shared" si="14"/>
        <v>0</v>
      </c>
      <c r="I84" s="57"/>
      <c r="J84" s="266"/>
      <c r="K84" s="266"/>
      <c r="L84" s="266"/>
      <c r="M84" s="266"/>
      <c r="N84" s="266"/>
      <c r="O84" s="526">
        <f t="shared" si="15"/>
        <v>0</v>
      </c>
      <c r="P84" s="526"/>
      <c r="Q84" s="538"/>
      <c r="R84" s="57"/>
      <c r="S84" s="57"/>
      <c r="T84" s="266"/>
      <c r="U84" s="266"/>
      <c r="V84" s="266"/>
      <c r="W84" s="266"/>
      <c r="Y84" s="216">
        <f t="shared" si="16"/>
        <v>0</v>
      </c>
      <c r="Z84" s="216"/>
    </row>
    <row r="85" spans="7:26" x14ac:dyDescent="0.3">
      <c r="G85" s="265"/>
      <c r="H85" s="228">
        <f t="shared" si="14"/>
        <v>1</v>
      </c>
      <c r="I85" s="357" t="s">
        <v>493</v>
      </c>
      <c r="J85" s="357"/>
      <c r="K85" s="357">
        <v>1</v>
      </c>
      <c r="L85" s="357"/>
      <c r="M85" s="357"/>
      <c r="N85" s="357"/>
      <c r="O85" s="526">
        <f t="shared" si="15"/>
        <v>0.5</v>
      </c>
      <c r="P85" s="526"/>
      <c r="Q85" s="538"/>
      <c r="R85" s="57"/>
      <c r="S85" s="57"/>
      <c r="T85" s="266"/>
      <c r="U85" s="266"/>
      <c r="V85" s="266"/>
      <c r="W85" s="266"/>
      <c r="Y85" s="216">
        <f t="shared" si="16"/>
        <v>0</v>
      </c>
      <c r="Z85" s="216"/>
    </row>
    <row r="86" spans="7:26" x14ac:dyDescent="0.3">
      <c r="G86" s="265"/>
      <c r="H86" s="228">
        <f t="shared" si="14"/>
        <v>1</v>
      </c>
      <c r="I86" s="357" t="s">
        <v>494</v>
      </c>
      <c r="J86" s="357"/>
      <c r="K86" s="357">
        <v>1</v>
      </c>
      <c r="L86" s="357"/>
      <c r="M86" s="357"/>
      <c r="N86" s="357"/>
      <c r="O86" s="216">
        <f t="shared" si="15"/>
        <v>0.5</v>
      </c>
      <c r="P86" s="216"/>
      <c r="Q86" s="195"/>
      <c r="R86" s="57"/>
      <c r="S86" s="57"/>
      <c r="T86" s="266"/>
      <c r="U86" s="266"/>
      <c r="V86" s="266"/>
      <c r="W86" s="266"/>
      <c r="Y86" s="216">
        <f t="shared" si="16"/>
        <v>0</v>
      </c>
      <c r="Z86" s="216"/>
    </row>
    <row r="87" spans="7:26" x14ac:dyDescent="0.3">
      <c r="G87" s="202"/>
      <c r="H87" s="228">
        <f t="shared" si="14"/>
        <v>0</v>
      </c>
      <c r="I87" s="57"/>
      <c r="J87" s="266"/>
      <c r="K87" s="266"/>
      <c r="L87" s="266"/>
      <c r="M87" s="266"/>
      <c r="N87" s="266"/>
      <c r="O87" s="216">
        <f t="shared" si="15"/>
        <v>0</v>
      </c>
      <c r="P87" s="216"/>
      <c r="Q87" s="195"/>
      <c r="R87" s="57"/>
      <c r="S87" s="57"/>
      <c r="T87" s="266"/>
      <c r="U87" s="266"/>
      <c r="V87" s="266"/>
      <c r="W87" s="266"/>
      <c r="Y87" s="216">
        <f t="shared" si="16"/>
        <v>0</v>
      </c>
      <c r="Z87" s="216"/>
    </row>
    <row r="88" spans="7:26" x14ac:dyDescent="0.3">
      <c r="G88" s="202"/>
      <c r="H88" s="228">
        <f t="shared" si="14"/>
        <v>0</v>
      </c>
      <c r="I88" s="443"/>
      <c r="J88" s="256"/>
      <c r="K88" s="256"/>
      <c r="L88" s="256"/>
      <c r="M88" s="256"/>
      <c r="N88" s="256"/>
      <c r="O88" s="216">
        <f t="shared" si="15"/>
        <v>0</v>
      </c>
      <c r="P88" s="216"/>
      <c r="Q88" s="195"/>
      <c r="R88" s="57"/>
      <c r="S88" s="57"/>
      <c r="T88" s="266"/>
      <c r="U88" s="266"/>
      <c r="V88" s="266"/>
      <c r="W88" s="266"/>
      <c r="Y88" s="216">
        <f t="shared" si="16"/>
        <v>0</v>
      </c>
      <c r="Z88" s="216"/>
    </row>
    <row r="89" spans="7:26" x14ac:dyDescent="0.3">
      <c r="G89" s="202"/>
      <c r="H89" s="228">
        <f t="shared" si="14"/>
        <v>0</v>
      </c>
      <c r="I89" s="57"/>
      <c r="J89" s="266"/>
      <c r="K89" s="266"/>
      <c r="L89" s="266"/>
      <c r="M89" s="266"/>
      <c r="N89" s="266"/>
      <c r="O89" s="216">
        <f t="shared" si="15"/>
        <v>0</v>
      </c>
      <c r="P89" s="216"/>
      <c r="Q89" s="195"/>
      <c r="R89" s="57"/>
      <c r="S89" s="57"/>
      <c r="T89" s="266"/>
      <c r="U89" s="266"/>
      <c r="V89" s="266"/>
      <c r="W89" s="266"/>
      <c r="Y89" s="216">
        <f t="shared" si="16"/>
        <v>0</v>
      </c>
      <c r="Z89" s="216"/>
    </row>
    <row r="90" spans="7:26" x14ac:dyDescent="0.3">
      <c r="G90" s="202"/>
      <c r="H90" s="228">
        <f t="shared" si="14"/>
        <v>0</v>
      </c>
      <c r="I90" s="57"/>
      <c r="J90" s="266"/>
      <c r="K90" s="266"/>
      <c r="L90" s="266"/>
      <c r="M90" s="266"/>
      <c r="N90" s="266"/>
      <c r="O90" s="216">
        <f t="shared" si="15"/>
        <v>0</v>
      </c>
      <c r="P90" s="216"/>
      <c r="Q90" s="195"/>
      <c r="R90" s="57"/>
      <c r="S90" s="57"/>
      <c r="T90" s="266"/>
      <c r="U90" s="266"/>
      <c r="V90" s="266"/>
      <c r="W90" s="266"/>
      <c r="Y90" s="216">
        <f t="shared" si="16"/>
        <v>0</v>
      </c>
      <c r="Z90" s="216"/>
    </row>
    <row r="91" spans="7:26" x14ac:dyDescent="0.3">
      <c r="G91" s="202"/>
      <c r="H91" s="210">
        <f>MAX(K91:N91)+MAX(V91:X91)</f>
        <v>0</v>
      </c>
      <c r="O91" s="216">
        <f t="shared" si="11"/>
        <v>0</v>
      </c>
      <c r="P91" s="234"/>
      <c r="Q91" s="293"/>
      <c r="R91" s="255"/>
      <c r="S91" s="259"/>
      <c r="T91" s="253"/>
      <c r="U91" s="259"/>
      <c r="V91" s="253"/>
      <c r="W91" s="253"/>
      <c r="X91" s="254"/>
      <c r="Y91" s="324">
        <f t="shared" si="12"/>
        <v>0</v>
      </c>
      <c r="Z91" s="234"/>
    </row>
    <row r="92" spans="7:26" x14ac:dyDescent="0.3">
      <c r="G92" s="202"/>
      <c r="H92" s="210">
        <f>MAX(K92:N92)+MAX(V92:X92)</f>
        <v>0</v>
      </c>
      <c r="I92" s="256"/>
      <c r="J92" s="256"/>
      <c r="K92" s="256"/>
      <c r="L92" s="256"/>
      <c r="M92" s="256"/>
      <c r="N92" s="266"/>
      <c r="O92" s="216">
        <f t="shared" si="11"/>
        <v>0</v>
      </c>
      <c r="P92" s="234"/>
      <c r="Q92" s="293"/>
      <c r="R92" s="255"/>
      <c r="S92" s="259"/>
      <c r="T92" s="253"/>
      <c r="U92" s="259"/>
      <c r="V92" s="253"/>
      <c r="W92" s="253"/>
      <c r="X92" s="254"/>
      <c r="Y92" s="324">
        <f t="shared" si="12"/>
        <v>0</v>
      </c>
      <c r="Z92" s="234"/>
    </row>
    <row r="93" spans="7:26" ht="15" thickBot="1" x14ac:dyDescent="0.35">
      <c r="G93" s="255"/>
      <c r="H93" s="210">
        <f>MAX(K68:N68)+MAX(V68:X68)</f>
        <v>0</v>
      </c>
      <c r="I93" s="266"/>
      <c r="J93" s="266"/>
      <c r="K93" s="266"/>
      <c r="L93" s="266"/>
      <c r="M93" s="266"/>
      <c r="N93" s="266"/>
      <c r="O93" s="234">
        <f t="shared" si="11"/>
        <v>0</v>
      </c>
      <c r="P93" s="234"/>
      <c r="Q93" s="293"/>
      <c r="R93" s="260"/>
      <c r="S93" s="261"/>
      <c r="T93" s="261"/>
      <c r="U93" s="261"/>
      <c r="V93" s="261"/>
      <c r="W93" s="261"/>
      <c r="X93" s="262"/>
      <c r="Y93" s="324">
        <f t="shared" si="12"/>
        <v>0</v>
      </c>
      <c r="Z93" s="234"/>
    </row>
    <row r="94" spans="7:26" x14ac:dyDescent="0.3">
      <c r="G94" s="270" t="s">
        <v>251</v>
      </c>
      <c r="H94" s="231">
        <f>MAX(K94:N94)+MAX(U94:X94)</f>
        <v>0</v>
      </c>
      <c r="I94" s="93"/>
      <c r="J94" s="271"/>
      <c r="K94" s="271"/>
      <c r="L94" s="271"/>
      <c r="M94" s="271"/>
      <c r="N94" s="271"/>
      <c r="O94" s="233">
        <f t="shared" si="11"/>
        <v>0</v>
      </c>
      <c r="P94" s="233"/>
      <c r="Q94" s="200"/>
      <c r="R94" s="253"/>
      <c r="S94" s="274"/>
      <c r="T94" s="274"/>
      <c r="U94" s="274"/>
      <c r="V94" s="274"/>
      <c r="W94" s="274"/>
      <c r="X94" s="274"/>
      <c r="Y94" s="233">
        <f>(T94+U94)*$Y$3</f>
        <v>0</v>
      </c>
      <c r="Z94" s="233"/>
    </row>
    <row r="95" spans="7:26" ht="15" thickBot="1" x14ac:dyDescent="0.35">
      <c r="G95" s="275" t="s">
        <v>173</v>
      </c>
      <c r="H95" s="225">
        <f>MAX(K95:N95)+MAX(U95:X95)</f>
        <v>0</v>
      </c>
      <c r="I95" s="30"/>
      <c r="J95" s="261"/>
      <c r="K95" s="261"/>
      <c r="L95" s="261"/>
      <c r="M95" s="261"/>
      <c r="N95" s="261"/>
      <c r="O95" s="232">
        <f t="shared" si="11"/>
        <v>0</v>
      </c>
      <c r="P95" s="232"/>
      <c r="Q95" s="226"/>
      <c r="R95" s="261"/>
      <c r="S95" s="261"/>
      <c r="T95" s="261"/>
      <c r="U95" s="261"/>
      <c r="V95" s="261"/>
      <c r="W95" s="261"/>
      <c r="X95" s="261"/>
      <c r="Y95" s="232">
        <f>(T95+U95)*$Y$3</f>
        <v>0</v>
      </c>
      <c r="Z95" s="232"/>
    </row>
  </sheetData>
  <mergeCells count="1">
    <mergeCell ref="T4:U4"/>
  </mergeCells>
  <conditionalFormatting sqref="D44">
    <cfRule type="cellIs" dxfId="32" priority="4" operator="equal">
      <formula>0</formula>
    </cfRule>
    <cfRule type="cellIs" dxfId="31" priority="5" operator="lessThan">
      <formula>0</formula>
    </cfRule>
    <cfRule type="cellIs" dxfId="30" priority="6" operator="greaterThan">
      <formula>0</formula>
    </cfRule>
  </conditionalFormatting>
  <conditionalFormatting sqref="D2">
    <cfRule type="cellIs" dxfId="29" priority="1" operator="lessThan">
      <formula>0</formula>
    </cfRule>
    <cfRule type="cellIs" dxfId="28" priority="2" operator="equal">
      <formula>0</formula>
    </cfRule>
    <cfRule type="cellIs" dxfId="27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5" tint="0.79998168889431442"/>
  </sheetPr>
  <dimension ref="A1:AH98"/>
  <sheetViews>
    <sheetView tabSelected="1" topLeftCell="E31" zoomScale="91" zoomScaleNormal="91" workbookViewId="0">
      <selection activeCell="R21" sqref="R21:W21"/>
    </sheetView>
  </sheetViews>
  <sheetFormatPr defaultRowHeight="14.4" x14ac:dyDescent="0.3"/>
  <cols>
    <col min="2" max="2" width="11.44140625" customWidth="1"/>
    <col min="3" max="3" width="20" customWidth="1"/>
    <col min="7" max="7" width="13.109375" customWidth="1"/>
    <col min="8" max="8" width="6.6640625" customWidth="1"/>
    <col min="9" max="9" width="21.44140625" customWidth="1"/>
    <col min="10" max="14" width="5.44140625" customWidth="1"/>
    <col min="15" max="15" width="7.88671875" customWidth="1"/>
    <col min="16" max="16" width="5.44140625" customWidth="1"/>
    <col min="17" max="17" width="1.77734375" customWidth="1"/>
    <col min="18" max="18" width="15" customWidth="1"/>
    <col min="19" max="19" width="27.6640625" customWidth="1"/>
    <col min="20" max="24" width="7" customWidth="1"/>
    <col min="25" max="25" width="8.6640625" customWidth="1"/>
    <col min="26" max="26" width="7" customWidth="1"/>
  </cols>
  <sheetData>
    <row r="1" spans="1:30" ht="15" thickBot="1" x14ac:dyDescent="0.35">
      <c r="A1" s="241"/>
      <c r="B1" s="241"/>
      <c r="C1" s="241"/>
      <c r="D1" s="241"/>
      <c r="E1" s="241"/>
      <c r="F1" s="241"/>
      <c r="G1" s="241"/>
      <c r="H1" s="52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</row>
    <row r="2" spans="1:30" x14ac:dyDescent="0.3">
      <c r="A2" s="241"/>
      <c r="B2" s="241"/>
      <c r="C2" s="242" t="s">
        <v>28</v>
      </c>
      <c r="D2" s="242">
        <f>D40+D3+D4</f>
        <v>3</v>
      </c>
      <c r="E2" s="241"/>
      <c r="F2" s="241"/>
      <c r="G2" s="241"/>
      <c r="H2" s="52"/>
      <c r="I2" s="243" t="s">
        <v>33</v>
      </c>
      <c r="J2" s="244">
        <f t="shared" ref="J2:P2" si="0">J6+T6</f>
        <v>6</v>
      </c>
      <c r="K2" s="244">
        <f t="shared" si="0"/>
        <v>9</v>
      </c>
      <c r="L2" s="244">
        <f t="shared" si="0"/>
        <v>11</v>
      </c>
      <c r="M2" s="244">
        <f t="shared" si="0"/>
        <v>9</v>
      </c>
      <c r="N2" s="244">
        <f t="shared" si="0"/>
        <v>2</v>
      </c>
      <c r="O2" s="244">
        <f t="shared" si="0"/>
        <v>7.5</v>
      </c>
      <c r="P2" s="244">
        <f t="shared" si="0"/>
        <v>0</v>
      </c>
      <c r="Q2" s="241"/>
      <c r="R2" s="241"/>
      <c r="S2" s="241"/>
      <c r="T2" s="241"/>
      <c r="U2" s="241"/>
      <c r="V2" s="241"/>
      <c r="W2" s="168" t="s">
        <v>229</v>
      </c>
      <c r="X2" s="169"/>
      <c r="Y2" s="170">
        <v>0.2</v>
      </c>
      <c r="Z2" s="171"/>
      <c r="AA2" s="241"/>
    </row>
    <row r="3" spans="1:30" ht="15" thickBot="1" x14ac:dyDescent="0.35">
      <c r="A3" s="241"/>
      <c r="B3" s="241"/>
      <c r="C3" s="245" t="s">
        <v>154</v>
      </c>
      <c r="D3" s="245"/>
      <c r="E3" s="241"/>
      <c r="F3" s="241"/>
      <c r="G3" s="241"/>
      <c r="H3" s="52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172" t="s">
        <v>227</v>
      </c>
      <c r="X3" s="173"/>
      <c r="Y3" s="174">
        <v>0.5</v>
      </c>
      <c r="Z3" s="241"/>
      <c r="AA3" s="241"/>
    </row>
    <row r="4" spans="1:30" ht="15" thickBot="1" x14ac:dyDescent="0.35">
      <c r="A4" s="241"/>
      <c r="B4" s="241"/>
      <c r="C4" s="245" t="s">
        <v>155</v>
      </c>
      <c r="D4" s="245">
        <v>0</v>
      </c>
      <c r="E4" s="241"/>
      <c r="F4" s="241"/>
      <c r="G4" s="241"/>
      <c r="H4" s="52"/>
      <c r="I4" s="246" t="s">
        <v>15</v>
      </c>
      <c r="J4" s="246"/>
      <c r="K4" s="246"/>
      <c r="L4" s="241"/>
      <c r="M4" s="241"/>
      <c r="N4" s="241"/>
      <c r="O4" s="241"/>
      <c r="P4" s="241"/>
      <c r="Q4" s="99"/>
      <c r="R4" s="247" t="s">
        <v>11</v>
      </c>
      <c r="S4" s="247"/>
      <c r="T4" s="587" t="s">
        <v>10</v>
      </c>
      <c r="U4" s="587"/>
      <c r="V4" s="241"/>
      <c r="W4" s="241"/>
      <c r="X4" s="241"/>
      <c r="Y4" s="241"/>
      <c r="Z4" s="241"/>
      <c r="AA4" s="241"/>
    </row>
    <row r="5" spans="1:30" ht="15.6" thickTop="1" thickBot="1" x14ac:dyDescent="0.35">
      <c r="A5" s="241"/>
      <c r="B5" s="241"/>
      <c r="C5" s="241"/>
      <c r="D5" s="241"/>
      <c r="E5" s="241"/>
      <c r="F5" s="241"/>
      <c r="G5" s="175" t="s">
        <v>235</v>
      </c>
      <c r="H5" s="176">
        <f>SUM(H8:H84)</f>
        <v>19</v>
      </c>
      <c r="I5" s="246" t="s">
        <v>8</v>
      </c>
      <c r="J5" s="177" t="s">
        <v>228</v>
      </c>
      <c r="K5" s="248" t="s">
        <v>204</v>
      </c>
      <c r="L5" s="248" t="s">
        <v>100</v>
      </c>
      <c r="M5" s="248" t="s">
        <v>205</v>
      </c>
      <c r="N5" s="248" t="s">
        <v>206</v>
      </c>
      <c r="O5" s="248" t="s">
        <v>27</v>
      </c>
      <c r="P5" s="248" t="s">
        <v>236</v>
      </c>
      <c r="Q5" s="99"/>
      <c r="R5" s="247" t="s">
        <v>8</v>
      </c>
      <c r="S5" s="247"/>
      <c r="T5" s="178" t="s">
        <v>228</v>
      </c>
      <c r="U5" s="249" t="s">
        <v>204</v>
      </c>
      <c r="V5" s="249" t="s">
        <v>100</v>
      </c>
      <c r="W5" s="249" t="s">
        <v>205</v>
      </c>
      <c r="X5" s="249" t="s">
        <v>206</v>
      </c>
      <c r="Y5" s="249" t="s">
        <v>27</v>
      </c>
      <c r="Z5" s="248" t="s">
        <v>236</v>
      </c>
      <c r="AA5" s="241"/>
    </row>
    <row r="6" spans="1:30" ht="15" thickBot="1" x14ac:dyDescent="0.35">
      <c r="A6" s="179"/>
      <c r="B6" s="274" t="s">
        <v>0</v>
      </c>
      <c r="C6" s="274" t="s">
        <v>4</v>
      </c>
      <c r="D6" s="272" t="s">
        <v>5</v>
      </c>
      <c r="E6" s="241"/>
      <c r="F6" s="241"/>
      <c r="G6" s="180" t="s">
        <v>213</v>
      </c>
      <c r="H6" s="181">
        <f>H5*50</f>
        <v>950</v>
      </c>
      <c r="I6" s="241"/>
      <c r="J6" s="244">
        <f t="shared" ref="J6:O6" si="1">SUM(J10:J155)</f>
        <v>0</v>
      </c>
      <c r="K6" s="244">
        <f t="shared" si="1"/>
        <v>0</v>
      </c>
      <c r="L6" s="244">
        <f t="shared" si="1"/>
        <v>3</v>
      </c>
      <c r="M6" s="244">
        <f t="shared" si="1"/>
        <v>3</v>
      </c>
      <c r="N6" s="244">
        <f t="shared" si="1"/>
        <v>2</v>
      </c>
      <c r="O6" s="244">
        <f t="shared" si="1"/>
        <v>0</v>
      </c>
      <c r="P6" s="244"/>
      <c r="Q6" s="99"/>
      <c r="R6" s="241"/>
      <c r="S6" s="241"/>
      <c r="T6" s="244">
        <f t="shared" ref="T6:Y6" si="2">SUM(T14:T155)</f>
        <v>6</v>
      </c>
      <c r="U6" s="244">
        <f t="shared" si="2"/>
        <v>9</v>
      </c>
      <c r="V6" s="244">
        <f t="shared" si="2"/>
        <v>8</v>
      </c>
      <c r="W6" s="244">
        <f t="shared" si="2"/>
        <v>6</v>
      </c>
      <c r="X6" s="244">
        <f t="shared" si="2"/>
        <v>0</v>
      </c>
      <c r="Y6" s="244">
        <f t="shared" si="2"/>
        <v>7.5</v>
      </c>
      <c r="Z6" s="244"/>
      <c r="AA6" s="241"/>
    </row>
    <row r="7" spans="1:30" ht="15.6" thickTop="1" thickBot="1" x14ac:dyDescent="0.35">
      <c r="A7" s="182"/>
      <c r="B7" s="241" t="s">
        <v>268</v>
      </c>
      <c r="C7" s="241"/>
      <c r="D7" s="254">
        <v>100</v>
      </c>
      <c r="E7" s="241"/>
      <c r="F7" s="241"/>
      <c r="G7" s="241"/>
      <c r="H7" s="52"/>
      <c r="I7" s="241"/>
      <c r="J7" s="241"/>
      <c r="K7" s="241"/>
      <c r="L7" s="241"/>
      <c r="M7" s="241"/>
      <c r="N7" s="241"/>
      <c r="O7" s="241"/>
      <c r="P7" s="241"/>
      <c r="Q7" s="99"/>
      <c r="R7" s="241"/>
      <c r="S7" s="241"/>
      <c r="T7" s="241"/>
      <c r="U7" s="241"/>
      <c r="V7" s="241"/>
      <c r="W7" s="241"/>
      <c r="X7" s="241"/>
      <c r="Y7" s="241"/>
      <c r="Z7" s="241"/>
      <c r="AA7" s="241"/>
    </row>
    <row r="8" spans="1:30" ht="15" thickBot="1" x14ac:dyDescent="0.35">
      <c r="A8" s="29"/>
      <c r="B8" s="241" t="s">
        <v>158</v>
      </c>
      <c r="C8" s="241" t="s">
        <v>278</v>
      </c>
      <c r="D8" s="254"/>
      <c r="E8" s="241"/>
      <c r="F8" s="241"/>
      <c r="G8" s="183" t="s">
        <v>276</v>
      </c>
      <c r="H8" s="184" t="s">
        <v>69</v>
      </c>
      <c r="I8" s="185" t="s">
        <v>237</v>
      </c>
      <c r="J8" s="186" t="s">
        <v>228</v>
      </c>
      <c r="K8" s="187" t="s">
        <v>204</v>
      </c>
      <c r="L8" s="187" t="s">
        <v>100</v>
      </c>
      <c r="M8" s="187" t="s">
        <v>205</v>
      </c>
      <c r="N8" s="187" t="s">
        <v>206</v>
      </c>
      <c r="O8" s="188" t="s">
        <v>27</v>
      </c>
      <c r="P8" s="188" t="s">
        <v>236</v>
      </c>
      <c r="Q8" s="189"/>
      <c r="R8" s="185" t="s">
        <v>41</v>
      </c>
      <c r="S8" s="185" t="s">
        <v>237</v>
      </c>
      <c r="T8" s="186" t="s">
        <v>228</v>
      </c>
      <c r="U8" s="187" t="s">
        <v>204</v>
      </c>
      <c r="V8" s="187" t="s">
        <v>100</v>
      </c>
      <c r="W8" s="187" t="s">
        <v>205</v>
      </c>
      <c r="X8" s="187" t="s">
        <v>206</v>
      </c>
      <c r="Y8" s="188" t="s">
        <v>27</v>
      </c>
      <c r="Z8" s="188" t="s">
        <v>236</v>
      </c>
      <c r="AA8" s="241"/>
      <c r="AB8" s="241"/>
      <c r="AC8" s="241"/>
      <c r="AD8" s="241"/>
    </row>
    <row r="9" spans="1:30" ht="15" thickBot="1" x14ac:dyDescent="0.35">
      <c r="A9" s="29"/>
      <c r="B9" s="241" t="s">
        <v>30</v>
      </c>
      <c r="C9" s="241" t="s">
        <v>440</v>
      </c>
      <c r="D9" s="254"/>
      <c r="E9" s="241"/>
      <c r="F9" s="241"/>
      <c r="G9" s="252" t="s">
        <v>238</v>
      </c>
      <c r="H9" s="277" t="s">
        <v>239</v>
      </c>
      <c r="I9" s="461" t="s">
        <v>410</v>
      </c>
      <c r="J9" s="137"/>
      <c r="K9" s="137"/>
      <c r="L9" s="137"/>
      <c r="M9" s="137"/>
      <c r="N9" s="153"/>
      <c r="O9" s="156"/>
      <c r="P9" s="156"/>
      <c r="Q9" s="200"/>
      <c r="R9" s="461" t="s">
        <v>410</v>
      </c>
      <c r="S9" s="201"/>
      <c r="T9" s="137"/>
      <c r="U9" s="137"/>
      <c r="V9" s="137"/>
      <c r="W9" s="137"/>
      <c r="X9" s="153"/>
      <c r="Y9" s="156"/>
      <c r="Z9" s="156"/>
      <c r="AA9" s="241"/>
      <c r="AB9" s="241"/>
      <c r="AC9" s="241"/>
      <c r="AD9" s="241"/>
    </row>
    <row r="10" spans="1:30" ht="21" x14ac:dyDescent="0.4">
      <c r="A10" s="29"/>
      <c r="B10" s="241"/>
      <c r="C10" s="241"/>
      <c r="D10" s="254"/>
      <c r="E10" s="241"/>
      <c r="F10" s="241"/>
      <c r="G10" s="255" t="s">
        <v>240</v>
      </c>
      <c r="H10" s="196" t="s">
        <v>239</v>
      </c>
      <c r="I10" s="283" t="s">
        <v>277</v>
      </c>
      <c r="J10" s="41"/>
      <c r="K10" s="41"/>
      <c r="L10" s="41"/>
      <c r="M10" s="41"/>
      <c r="N10" s="39"/>
      <c r="O10" s="198"/>
      <c r="P10" s="198"/>
      <c r="Q10" s="195"/>
      <c r="R10" s="197"/>
      <c r="S10" s="283" t="s">
        <v>277</v>
      </c>
      <c r="T10" s="41"/>
      <c r="U10" s="41"/>
      <c r="V10" s="41"/>
      <c r="W10" s="41"/>
      <c r="X10" s="39"/>
      <c r="Y10" s="198"/>
      <c r="Z10" s="198"/>
      <c r="AA10" s="241"/>
      <c r="AB10" s="241"/>
      <c r="AC10" s="241"/>
      <c r="AD10" s="241"/>
    </row>
    <row r="11" spans="1:30" ht="15" thickBot="1" x14ac:dyDescent="0.35">
      <c r="A11" s="29"/>
      <c r="B11" s="241" t="s">
        <v>2</v>
      </c>
      <c r="C11" s="241"/>
      <c r="D11" s="254"/>
      <c r="E11" s="241"/>
      <c r="F11" s="241"/>
      <c r="G11" s="260"/>
      <c r="H11" s="278" t="s">
        <v>239</v>
      </c>
      <c r="I11" s="279"/>
      <c r="J11" s="280"/>
      <c r="K11" s="280"/>
      <c r="L11" s="280"/>
      <c r="M11" s="280"/>
      <c r="N11" s="281"/>
      <c r="O11" s="282"/>
      <c r="P11" s="282"/>
      <c r="Q11" s="226"/>
      <c r="R11" s="279"/>
      <c r="S11" s="279"/>
      <c r="T11" s="280"/>
      <c r="U11" s="280"/>
      <c r="V11" s="280"/>
      <c r="W11" s="280"/>
      <c r="X11" s="281"/>
      <c r="Y11" s="282"/>
      <c r="Z11" s="282"/>
      <c r="AA11" s="241"/>
      <c r="AB11" s="241"/>
      <c r="AC11" s="241"/>
      <c r="AD11" s="241"/>
    </row>
    <row r="12" spans="1:30" ht="15" thickBot="1" x14ac:dyDescent="0.35">
      <c r="A12" s="29"/>
      <c r="B12" s="241" t="s">
        <v>55</v>
      </c>
      <c r="C12" s="241"/>
      <c r="D12" s="254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</row>
    <row r="13" spans="1:30" ht="15" thickBot="1" x14ac:dyDescent="0.35">
      <c r="A13" s="29"/>
      <c r="B13" s="257" t="s">
        <v>280</v>
      </c>
      <c r="C13" s="241"/>
      <c r="D13" s="254"/>
      <c r="E13" s="241"/>
      <c r="F13" s="241"/>
      <c r="G13" s="183" t="s">
        <v>292</v>
      </c>
      <c r="H13" s="184" t="s">
        <v>69</v>
      </c>
      <c r="I13" s="185" t="s">
        <v>237</v>
      </c>
      <c r="J13" s="186" t="s">
        <v>228</v>
      </c>
      <c r="K13" s="187" t="s">
        <v>204</v>
      </c>
      <c r="L13" s="187" t="s">
        <v>100</v>
      </c>
      <c r="M13" s="187" t="s">
        <v>205</v>
      </c>
      <c r="N13" s="187" t="s">
        <v>206</v>
      </c>
      <c r="O13" s="188" t="s">
        <v>27</v>
      </c>
      <c r="P13" s="188" t="s">
        <v>236</v>
      </c>
      <c r="Q13" s="189"/>
      <c r="R13" s="185" t="s">
        <v>41</v>
      </c>
      <c r="S13" s="185" t="s">
        <v>237</v>
      </c>
      <c r="T13" s="186" t="s">
        <v>228</v>
      </c>
      <c r="U13" s="187" t="s">
        <v>204</v>
      </c>
      <c r="V13" s="187" t="s">
        <v>100</v>
      </c>
      <c r="W13" s="187" t="s">
        <v>205</v>
      </c>
      <c r="X13" s="187" t="s">
        <v>206</v>
      </c>
      <c r="Y13" s="188" t="s">
        <v>27</v>
      </c>
      <c r="Z13" s="188" t="s">
        <v>236</v>
      </c>
      <c r="AA13" s="241"/>
      <c r="AB13" s="241"/>
      <c r="AC13" s="241"/>
      <c r="AD13" s="241"/>
    </row>
    <row r="14" spans="1:30" ht="15" thickBot="1" x14ac:dyDescent="0.35">
      <c r="A14" s="29"/>
      <c r="B14" s="241"/>
      <c r="C14" s="258" t="s">
        <v>7</v>
      </c>
      <c r="D14" s="199">
        <f>SUM(D7:D13)</f>
        <v>100</v>
      </c>
      <c r="E14" s="241"/>
      <c r="F14" s="241"/>
      <c r="G14" s="425" t="s">
        <v>137</v>
      </c>
      <c r="H14" s="434" t="s">
        <v>239</v>
      </c>
      <c r="I14" s="423"/>
      <c r="J14" s="423"/>
      <c r="K14" s="423"/>
      <c r="L14" s="423"/>
      <c r="M14" s="423"/>
      <c r="N14" s="423"/>
      <c r="O14" s="436"/>
      <c r="P14" s="423"/>
      <c r="Q14" s="200"/>
      <c r="R14" s="423"/>
      <c r="S14" s="436"/>
      <c r="T14" s="423"/>
      <c r="U14" s="423"/>
      <c r="V14" s="423"/>
      <c r="W14" s="423"/>
      <c r="X14" s="423"/>
      <c r="Y14" s="436"/>
      <c r="Z14" s="426"/>
      <c r="AA14" s="241"/>
      <c r="AB14" s="241"/>
      <c r="AC14" s="241"/>
      <c r="AD14" s="241"/>
    </row>
    <row r="15" spans="1:30" ht="15.6" thickTop="1" thickBot="1" x14ac:dyDescent="0.35">
      <c r="A15" s="30"/>
      <c r="B15" s="261"/>
      <c r="C15" s="261"/>
      <c r="D15" s="262"/>
      <c r="E15" s="241"/>
      <c r="F15" s="241"/>
      <c r="G15" s="117" t="s">
        <v>401</v>
      </c>
      <c r="H15" s="435" t="s">
        <v>239</v>
      </c>
      <c r="I15" s="423"/>
      <c r="J15" s="423"/>
      <c r="K15" s="423"/>
      <c r="L15" s="423"/>
      <c r="M15" s="423"/>
      <c r="N15" s="423"/>
      <c r="O15" s="437"/>
      <c r="P15" s="423"/>
      <c r="Q15" s="195"/>
      <c r="R15" s="423"/>
      <c r="S15" s="437"/>
      <c r="T15" s="423"/>
      <c r="U15" s="423"/>
      <c r="V15" s="423"/>
      <c r="W15" s="423"/>
      <c r="X15" s="423"/>
      <c r="Y15" s="437"/>
      <c r="Z15" s="426"/>
      <c r="AA15" s="241"/>
      <c r="AB15" s="241"/>
      <c r="AC15" s="241"/>
      <c r="AD15" s="241"/>
    </row>
    <row r="16" spans="1:30" ht="15" thickBot="1" x14ac:dyDescent="0.35">
      <c r="A16" s="241"/>
      <c r="B16" s="241"/>
      <c r="C16" s="241"/>
      <c r="D16" s="241"/>
      <c r="E16" s="241"/>
      <c r="F16" s="241"/>
      <c r="G16" s="117">
        <f>SUM(H16:H30)</f>
        <v>15</v>
      </c>
      <c r="H16" s="210">
        <f>MAX(K16:N16)+MAX(U16:X16)</f>
        <v>1</v>
      </c>
      <c r="I16" s="253" t="s">
        <v>372</v>
      </c>
      <c r="J16" s="253"/>
      <c r="K16" s="253"/>
      <c r="L16" s="253"/>
      <c r="M16" s="253"/>
      <c r="N16" s="253">
        <v>1</v>
      </c>
      <c r="O16" s="438">
        <f>(J16+K16)*$Y$3</f>
        <v>0</v>
      </c>
      <c r="P16" s="424"/>
      <c r="Q16" s="195"/>
      <c r="R16" s="42" t="s">
        <v>85</v>
      </c>
      <c r="S16" s="573" t="s">
        <v>168</v>
      </c>
      <c r="T16" s="466">
        <v>1</v>
      </c>
      <c r="U16" s="466"/>
      <c r="V16" s="466"/>
      <c r="W16" s="466"/>
      <c r="X16" s="467"/>
      <c r="Y16" s="438">
        <f>(T16+U16)*$Y$3</f>
        <v>0.5</v>
      </c>
      <c r="Z16" s="136"/>
      <c r="AA16" s="241"/>
      <c r="AB16" s="241"/>
      <c r="AC16" s="241"/>
      <c r="AD16" s="241"/>
    </row>
    <row r="17" spans="1:34" x14ac:dyDescent="0.3">
      <c r="A17" s="28" t="s">
        <v>19</v>
      </c>
      <c r="B17" s="274"/>
      <c r="C17" s="274" t="s">
        <v>13</v>
      </c>
      <c r="D17" s="215">
        <f>(J6+K6)*$Y$3</f>
        <v>0</v>
      </c>
      <c r="E17" s="241"/>
      <c r="F17" s="241"/>
      <c r="G17" s="29"/>
      <c r="H17" s="210">
        <f t="shared" ref="H17:H25" si="3">MAX(K17:N17)+MAX(U17:X17)</f>
        <v>2</v>
      </c>
      <c r="I17" s="259" t="s">
        <v>340</v>
      </c>
      <c r="J17" s="259"/>
      <c r="K17" s="259"/>
      <c r="L17" s="259">
        <v>1</v>
      </c>
      <c r="M17" s="259">
        <v>1</v>
      </c>
      <c r="N17" s="259"/>
      <c r="O17" s="438">
        <f t="shared" ref="O17:O25" si="4">(J17+K17)*$Y$3</f>
        <v>0</v>
      </c>
      <c r="P17" s="424"/>
      <c r="Q17" s="195"/>
      <c r="R17" s="465"/>
      <c r="S17" s="65" t="s">
        <v>299</v>
      </c>
      <c r="T17" s="66"/>
      <c r="U17" s="66">
        <v>1</v>
      </c>
      <c r="V17" s="66"/>
      <c r="W17" s="66"/>
      <c r="X17" s="48"/>
      <c r="Y17" s="438">
        <f t="shared" ref="Y17:Y25" si="5">(T17+U17)*$Y$3</f>
        <v>0.5</v>
      </c>
      <c r="Z17" s="136"/>
      <c r="AA17" s="241"/>
      <c r="AB17" s="241"/>
      <c r="AC17" s="241"/>
      <c r="AD17" s="241"/>
    </row>
    <row r="18" spans="1:34" ht="15" thickBot="1" x14ac:dyDescent="0.35">
      <c r="A18" s="29"/>
      <c r="B18" s="241"/>
      <c r="C18" s="258" t="s">
        <v>14</v>
      </c>
      <c r="D18" s="217">
        <f>(J2+K2)*$Y$2</f>
        <v>3</v>
      </c>
      <c r="E18" s="241"/>
      <c r="F18" s="241"/>
      <c r="G18" s="117" t="s">
        <v>218</v>
      </c>
      <c r="H18" s="210">
        <f t="shared" si="3"/>
        <v>2</v>
      </c>
      <c r="I18" s="259" t="s">
        <v>334</v>
      </c>
      <c r="J18" s="259"/>
      <c r="K18" s="259"/>
      <c r="L18" s="259">
        <v>1</v>
      </c>
      <c r="M18" s="259">
        <v>1</v>
      </c>
      <c r="N18" s="259"/>
      <c r="O18" s="438">
        <f t="shared" si="4"/>
        <v>0</v>
      </c>
      <c r="P18" s="424"/>
      <c r="Q18" s="195"/>
      <c r="R18" s="465"/>
      <c r="S18" s="65" t="s">
        <v>339</v>
      </c>
      <c r="T18" s="66"/>
      <c r="U18" s="66">
        <v>1</v>
      </c>
      <c r="V18" s="66"/>
      <c r="W18" s="66"/>
      <c r="X18" s="48"/>
      <c r="Y18" s="438">
        <f t="shared" si="5"/>
        <v>0.5</v>
      </c>
      <c r="Z18" s="136"/>
      <c r="AA18" s="241"/>
      <c r="AB18" s="241"/>
      <c r="AC18" s="241"/>
      <c r="AD18" s="241"/>
    </row>
    <row r="19" spans="1:34" ht="15.6" thickTop="1" thickBot="1" x14ac:dyDescent="0.35">
      <c r="A19" s="30"/>
      <c r="B19" s="261"/>
      <c r="C19" s="218" t="s">
        <v>7</v>
      </c>
      <c r="D19" s="219">
        <f>SUM(D17:D18)</f>
        <v>3</v>
      </c>
      <c r="E19" s="241"/>
      <c r="F19" s="241"/>
      <c r="G19" s="117">
        <f>G16*50</f>
        <v>750</v>
      </c>
      <c r="H19" s="210">
        <f t="shared" si="3"/>
        <v>1</v>
      </c>
      <c r="I19" s="259" t="s">
        <v>393</v>
      </c>
      <c r="J19" s="259"/>
      <c r="K19" s="259"/>
      <c r="L19" s="259">
        <v>1</v>
      </c>
      <c r="M19" s="259">
        <v>1</v>
      </c>
      <c r="N19" s="259"/>
      <c r="O19" s="438">
        <f t="shared" si="4"/>
        <v>0</v>
      </c>
      <c r="P19" s="424"/>
      <c r="Q19" s="195"/>
      <c r="R19" s="476"/>
      <c r="S19" s="68" t="s">
        <v>537</v>
      </c>
      <c r="T19" s="69">
        <v>2</v>
      </c>
      <c r="U19" s="69"/>
      <c r="V19" s="69"/>
      <c r="W19" s="69"/>
      <c r="X19" s="470"/>
      <c r="Y19" s="438">
        <f t="shared" si="5"/>
        <v>1</v>
      </c>
      <c r="Z19" s="136"/>
      <c r="AA19" s="241"/>
      <c r="AB19" s="241"/>
      <c r="AC19" s="241"/>
      <c r="AD19" s="241"/>
    </row>
    <row r="20" spans="1:34" ht="15" thickBot="1" x14ac:dyDescent="0.35">
      <c r="A20" s="241"/>
      <c r="B20" s="241"/>
      <c r="C20" s="241"/>
      <c r="D20" s="241"/>
      <c r="E20" s="241"/>
      <c r="F20" s="241"/>
      <c r="G20" s="29"/>
      <c r="H20" s="210">
        <f t="shared" si="3"/>
        <v>1</v>
      </c>
      <c r="I20" s="259"/>
      <c r="J20" s="259"/>
      <c r="K20" s="259"/>
      <c r="L20" s="259"/>
      <c r="M20" s="259"/>
      <c r="N20" s="259"/>
      <c r="O20" s="438">
        <f t="shared" si="4"/>
        <v>0</v>
      </c>
      <c r="P20" s="424"/>
      <c r="Q20" s="195"/>
      <c r="R20" s="259" t="s">
        <v>130</v>
      </c>
      <c r="S20" s="265" t="s">
        <v>188</v>
      </c>
      <c r="T20" s="259"/>
      <c r="U20" s="259"/>
      <c r="V20" s="259">
        <v>1</v>
      </c>
      <c r="W20" s="259">
        <v>1</v>
      </c>
      <c r="X20" s="253"/>
      <c r="Y20" s="438">
        <f t="shared" si="5"/>
        <v>0</v>
      </c>
      <c r="Z20" s="136"/>
      <c r="AA20" s="241"/>
      <c r="AB20" s="241"/>
      <c r="AC20" s="241"/>
      <c r="AD20" s="241"/>
    </row>
    <row r="21" spans="1:34" ht="15" thickBot="1" x14ac:dyDescent="0.35">
      <c r="A21" s="220" t="s">
        <v>243</v>
      </c>
      <c r="B21" s="274"/>
      <c r="C21" s="274"/>
      <c r="D21" s="272"/>
      <c r="E21" s="241"/>
      <c r="F21" s="241"/>
      <c r="G21" s="29"/>
      <c r="H21" s="210">
        <f t="shared" si="3"/>
        <v>2</v>
      </c>
      <c r="I21" s="259"/>
      <c r="J21" s="259"/>
      <c r="K21" s="259"/>
      <c r="L21" s="259"/>
      <c r="M21" s="259"/>
      <c r="N21" s="259"/>
      <c r="O21" s="438">
        <f t="shared" si="4"/>
        <v>0</v>
      </c>
      <c r="P21" s="424"/>
      <c r="Q21" s="195"/>
      <c r="R21" s="259" t="s">
        <v>195</v>
      </c>
      <c r="S21" s="265" t="s">
        <v>481</v>
      </c>
      <c r="T21" s="259">
        <v>2</v>
      </c>
      <c r="U21" s="259"/>
      <c r="V21" s="259">
        <v>2</v>
      </c>
      <c r="W21" s="259">
        <v>1</v>
      </c>
      <c r="X21" s="253"/>
      <c r="Y21" s="438">
        <f t="shared" si="5"/>
        <v>1</v>
      </c>
      <c r="Z21" s="136"/>
      <c r="AA21" s="241"/>
      <c r="AB21" s="241"/>
      <c r="AC21" s="241"/>
      <c r="AD21" s="241"/>
    </row>
    <row r="22" spans="1:34" x14ac:dyDescent="0.3">
      <c r="A22" s="221"/>
      <c r="B22" s="157" t="s">
        <v>232</v>
      </c>
      <c r="C22" s="157"/>
      <c r="D22" s="158"/>
      <c r="E22" s="241"/>
      <c r="F22" s="241"/>
      <c r="G22" s="29"/>
      <c r="H22" s="210">
        <f t="shared" si="3"/>
        <v>1</v>
      </c>
      <c r="I22" s="259"/>
      <c r="J22" s="259"/>
      <c r="K22" s="259"/>
      <c r="L22" s="259"/>
      <c r="M22" s="259"/>
      <c r="N22" s="259"/>
      <c r="O22" s="438">
        <f t="shared" si="4"/>
        <v>0</v>
      </c>
      <c r="P22" s="424"/>
      <c r="Q22" s="195"/>
      <c r="R22" s="70" t="s">
        <v>374</v>
      </c>
      <c r="S22" s="265" t="s">
        <v>375</v>
      </c>
      <c r="T22" s="259"/>
      <c r="U22" s="259">
        <v>1</v>
      </c>
      <c r="V22" s="259"/>
      <c r="W22" s="259"/>
      <c r="X22" s="253"/>
      <c r="Y22" s="438">
        <f t="shared" si="5"/>
        <v>0.5</v>
      </c>
      <c r="Z22" s="136"/>
      <c r="AA22" s="241"/>
      <c r="AB22" s="241"/>
      <c r="AC22" s="241"/>
      <c r="AD22" s="241"/>
    </row>
    <row r="23" spans="1:34" x14ac:dyDescent="0.3">
      <c r="A23" s="29"/>
      <c r="B23" s="159"/>
      <c r="C23" s="24" t="s">
        <v>20</v>
      </c>
      <c r="D23" s="25">
        <f>B23*0.5</f>
        <v>0</v>
      </c>
      <c r="E23" s="241"/>
      <c r="F23" s="241"/>
      <c r="G23" s="57"/>
      <c r="H23" s="210">
        <f t="shared" si="3"/>
        <v>1</v>
      </c>
      <c r="I23" s="259"/>
      <c r="J23" s="259"/>
      <c r="K23" s="259"/>
      <c r="L23" s="259"/>
      <c r="M23" s="259"/>
      <c r="N23" s="259"/>
      <c r="O23" s="438">
        <f t="shared" si="4"/>
        <v>0</v>
      </c>
      <c r="P23" s="424"/>
      <c r="Q23" s="195"/>
      <c r="R23" s="259" t="s">
        <v>319</v>
      </c>
      <c r="S23" s="265" t="s">
        <v>394</v>
      </c>
      <c r="T23" s="259"/>
      <c r="U23" s="259">
        <v>1</v>
      </c>
      <c r="V23" s="259"/>
      <c r="W23" s="259"/>
      <c r="X23" s="253"/>
      <c r="Y23" s="438">
        <f t="shared" si="5"/>
        <v>0.5</v>
      </c>
      <c r="Z23" s="136"/>
      <c r="AA23" s="241"/>
      <c r="AB23" s="241"/>
      <c r="AC23" s="241"/>
      <c r="AD23" s="241"/>
    </row>
    <row r="24" spans="1:34" x14ac:dyDescent="0.3">
      <c r="A24" s="29"/>
      <c r="B24" s="159">
        <v>1</v>
      </c>
      <c r="C24" s="24" t="s">
        <v>21</v>
      </c>
      <c r="D24" s="25">
        <f>B24</f>
        <v>1</v>
      </c>
      <c r="E24" s="241"/>
      <c r="F24" s="241"/>
      <c r="G24" s="57"/>
      <c r="H24" s="210">
        <f t="shared" si="3"/>
        <v>0</v>
      </c>
      <c r="I24" s="259"/>
      <c r="J24" s="259"/>
      <c r="K24" s="259"/>
      <c r="L24" s="259"/>
      <c r="M24" s="259"/>
      <c r="N24" s="259"/>
      <c r="O24" s="438">
        <f t="shared" si="4"/>
        <v>0</v>
      </c>
      <c r="P24" s="424"/>
      <c r="Q24" s="195"/>
      <c r="R24" s="259"/>
      <c r="S24" s="265"/>
      <c r="T24" s="259"/>
      <c r="U24" s="259"/>
      <c r="V24" s="259"/>
      <c r="W24" s="259"/>
      <c r="X24" s="253"/>
      <c r="Y24" s="438">
        <f t="shared" si="5"/>
        <v>0</v>
      </c>
      <c r="Z24" s="136"/>
      <c r="AA24" s="241"/>
      <c r="AB24" s="241"/>
      <c r="AC24" s="241"/>
      <c r="AD24" s="241"/>
    </row>
    <row r="25" spans="1:34" ht="15" thickBot="1" x14ac:dyDescent="0.35">
      <c r="A25" s="29"/>
      <c r="B25" s="159">
        <v>1</v>
      </c>
      <c r="C25" s="24" t="s">
        <v>22</v>
      </c>
      <c r="D25" s="25">
        <f>B25</f>
        <v>1</v>
      </c>
      <c r="E25" s="241"/>
      <c r="F25" s="241"/>
      <c r="G25" s="81"/>
      <c r="H25" s="225">
        <f t="shared" si="3"/>
        <v>1</v>
      </c>
      <c r="I25" s="261"/>
      <c r="J25" s="269"/>
      <c r="K25" s="269"/>
      <c r="L25" s="269"/>
      <c r="M25" s="269"/>
      <c r="N25" s="269"/>
      <c r="O25" s="439">
        <f t="shared" si="4"/>
        <v>0</v>
      </c>
      <c r="P25" s="427"/>
      <c r="Q25" s="226"/>
      <c r="R25" s="269" t="s">
        <v>278</v>
      </c>
      <c r="S25" s="268" t="s">
        <v>562</v>
      </c>
      <c r="T25" s="269"/>
      <c r="U25" s="269">
        <v>0.5</v>
      </c>
      <c r="V25" s="269">
        <v>1</v>
      </c>
      <c r="W25" s="269"/>
      <c r="X25" s="261"/>
      <c r="Y25" s="439">
        <f t="shared" si="5"/>
        <v>0.25</v>
      </c>
      <c r="Z25" s="428"/>
      <c r="AA25" s="241"/>
      <c r="AB25" s="241"/>
      <c r="AC25" s="241"/>
      <c r="AD25" s="241"/>
    </row>
    <row r="26" spans="1:34" ht="15" thickBot="1" x14ac:dyDescent="0.35">
      <c r="A26" s="29"/>
      <c r="B26" s="159">
        <v>1</v>
      </c>
      <c r="C26" s="24" t="s">
        <v>23</v>
      </c>
      <c r="D26" s="25">
        <f>B26</f>
        <v>1</v>
      </c>
      <c r="E26" s="241"/>
      <c r="F26" s="241"/>
      <c r="G26" s="429" t="s">
        <v>248</v>
      </c>
      <c r="H26" s="225" t="s">
        <v>69</v>
      </c>
      <c r="I26" s="432" t="s">
        <v>237</v>
      </c>
      <c r="J26" s="417" t="s">
        <v>228</v>
      </c>
      <c r="K26" s="418" t="s">
        <v>204</v>
      </c>
      <c r="L26" s="418" t="s">
        <v>100</v>
      </c>
      <c r="M26" s="418" t="s">
        <v>205</v>
      </c>
      <c r="N26" s="418" t="s">
        <v>206</v>
      </c>
      <c r="O26" s="419" t="s">
        <v>27</v>
      </c>
      <c r="P26" s="418" t="s">
        <v>236</v>
      </c>
      <c r="Q26" s="226"/>
      <c r="R26" s="442" t="s">
        <v>41</v>
      </c>
      <c r="S26" s="420" t="s">
        <v>237</v>
      </c>
      <c r="T26" s="421" t="s">
        <v>228</v>
      </c>
      <c r="U26" s="422" t="s">
        <v>204</v>
      </c>
      <c r="V26" s="422" t="s">
        <v>100</v>
      </c>
      <c r="W26" s="422" t="s">
        <v>205</v>
      </c>
      <c r="X26" s="422" t="s">
        <v>206</v>
      </c>
      <c r="Y26" s="419" t="s">
        <v>27</v>
      </c>
      <c r="Z26" s="419" t="s">
        <v>236</v>
      </c>
      <c r="AA26" s="241"/>
      <c r="AB26" s="241"/>
      <c r="AC26" s="241"/>
      <c r="AD26" s="241"/>
    </row>
    <row r="27" spans="1:34" ht="15" thickBot="1" x14ac:dyDescent="0.35">
      <c r="A27" s="30"/>
      <c r="B27" s="160"/>
      <c r="C27" s="161" t="s">
        <v>25</v>
      </c>
      <c r="D27" s="162">
        <f>SUM(D23:D26)</f>
        <v>3</v>
      </c>
      <c r="E27" s="241"/>
      <c r="F27" s="241"/>
      <c r="G27" s="430" t="s">
        <v>373</v>
      </c>
      <c r="H27" s="231">
        <f>MAX(K27:N27)+MAX(U27:X27)</f>
        <v>2</v>
      </c>
      <c r="I27" s="379"/>
      <c r="J27" s="241"/>
      <c r="K27" s="241"/>
      <c r="L27" s="241"/>
      <c r="M27" s="241"/>
      <c r="N27" s="241"/>
      <c r="O27" s="211">
        <f>(J27+K27)*$Y$3</f>
        <v>0</v>
      </c>
      <c r="P27" s="440"/>
      <c r="Q27" s="195"/>
      <c r="R27" s="70" t="s">
        <v>374</v>
      </c>
      <c r="S27" s="274" t="s">
        <v>216</v>
      </c>
      <c r="T27" s="274"/>
      <c r="U27" s="274">
        <v>2</v>
      </c>
      <c r="V27" s="274">
        <v>1</v>
      </c>
      <c r="W27" s="274">
        <v>1</v>
      </c>
      <c r="X27" s="272"/>
      <c r="Y27" s="288">
        <f>(T27+U27)*$Y$3</f>
        <v>1</v>
      </c>
      <c r="Z27" s="211"/>
      <c r="AA27" s="241"/>
      <c r="AB27" s="241"/>
      <c r="AC27" s="241"/>
      <c r="AD27" s="241"/>
    </row>
    <row r="28" spans="1:34" ht="15" thickBot="1" x14ac:dyDescent="0.35">
      <c r="A28" s="241"/>
      <c r="B28" s="241"/>
      <c r="C28" s="241"/>
      <c r="D28" s="241"/>
      <c r="E28" s="241"/>
      <c r="F28" s="241"/>
      <c r="G28" s="431" t="s">
        <v>173</v>
      </c>
      <c r="H28" s="225">
        <f>MAX(K28:N28)+MAX(U28:X28)</f>
        <v>1</v>
      </c>
      <c r="I28" s="433"/>
      <c r="J28" s="269"/>
      <c r="K28" s="269"/>
      <c r="L28" s="269"/>
      <c r="M28" s="269"/>
      <c r="N28" s="269"/>
      <c r="O28" s="232">
        <f>(J28+K28)*$Y$3</f>
        <v>0</v>
      </c>
      <c r="P28" s="441"/>
      <c r="Q28" s="226"/>
      <c r="R28" s="260" t="s">
        <v>374</v>
      </c>
      <c r="S28" s="261" t="s">
        <v>207</v>
      </c>
      <c r="T28" s="261"/>
      <c r="U28" s="261">
        <v>1</v>
      </c>
      <c r="V28" s="261"/>
      <c r="W28" s="261"/>
      <c r="X28" s="262"/>
      <c r="Y28" s="289">
        <f>(T28+U28)*$Y$3</f>
        <v>0.5</v>
      </c>
      <c r="Z28" s="232"/>
      <c r="AA28" s="241"/>
      <c r="AB28" s="241"/>
      <c r="AC28" s="241"/>
      <c r="AD28" s="378"/>
      <c r="AE28" s="259">
        <v>2</v>
      </c>
      <c r="AF28" s="259"/>
      <c r="AG28" s="259">
        <v>2</v>
      </c>
      <c r="AH28" s="259">
        <v>1</v>
      </c>
    </row>
    <row r="29" spans="1:34" x14ac:dyDescent="0.3">
      <c r="A29" s="220" t="s">
        <v>244</v>
      </c>
      <c r="B29" s="274"/>
      <c r="C29" s="274"/>
      <c r="D29" s="272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</row>
    <row r="30" spans="1:34" x14ac:dyDescent="0.3">
      <c r="A30" s="221"/>
      <c r="B30" s="241"/>
      <c r="C30" s="241" t="s">
        <v>26</v>
      </c>
      <c r="D30" s="254">
        <f>P2</f>
        <v>0</v>
      </c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</row>
    <row r="31" spans="1:34" x14ac:dyDescent="0.3">
      <c r="A31" s="29"/>
      <c r="B31" s="157" t="s">
        <v>232</v>
      </c>
      <c r="C31" s="157"/>
      <c r="D31" s="224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</row>
    <row r="32" spans="1:34" ht="15" thickBot="1" x14ac:dyDescent="0.35">
      <c r="A32" s="29"/>
      <c r="B32" s="159"/>
      <c r="C32" s="24" t="s">
        <v>16</v>
      </c>
      <c r="D32" s="25">
        <f>INT(B32/4)</f>
        <v>0</v>
      </c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</row>
    <row r="33" spans="1:30" ht="15" thickBot="1" x14ac:dyDescent="0.35">
      <c r="A33" s="29"/>
      <c r="B33" s="159"/>
      <c r="C33" s="24" t="s">
        <v>17</v>
      </c>
      <c r="D33" s="25">
        <f>INT(B33/3)</f>
        <v>0</v>
      </c>
      <c r="E33" s="241"/>
      <c r="F33" s="241"/>
      <c r="G33" s="183" t="s">
        <v>291</v>
      </c>
      <c r="H33" s="184" t="s">
        <v>69</v>
      </c>
      <c r="I33" s="185" t="s">
        <v>237</v>
      </c>
      <c r="J33" s="186" t="s">
        <v>228</v>
      </c>
      <c r="K33" s="187" t="s">
        <v>204</v>
      </c>
      <c r="L33" s="187" t="s">
        <v>100</v>
      </c>
      <c r="M33" s="187" t="s">
        <v>205</v>
      </c>
      <c r="N33" s="187" t="s">
        <v>206</v>
      </c>
      <c r="O33" s="188" t="s">
        <v>27</v>
      </c>
      <c r="P33" s="188" t="s">
        <v>236</v>
      </c>
      <c r="Q33" s="189"/>
      <c r="R33" s="185" t="s">
        <v>41</v>
      </c>
      <c r="S33" s="185" t="s">
        <v>237</v>
      </c>
      <c r="T33" s="186" t="s">
        <v>228</v>
      </c>
      <c r="U33" s="187" t="s">
        <v>204</v>
      </c>
      <c r="V33" s="187" t="s">
        <v>100</v>
      </c>
      <c r="W33" s="187" t="s">
        <v>205</v>
      </c>
      <c r="X33" s="187" t="s">
        <v>206</v>
      </c>
      <c r="Y33" s="188" t="s">
        <v>27</v>
      </c>
      <c r="Z33" s="188" t="s">
        <v>236</v>
      </c>
      <c r="AA33" s="241"/>
      <c r="AB33" s="241"/>
      <c r="AC33" s="241"/>
      <c r="AD33" s="241"/>
    </row>
    <row r="34" spans="1:30" ht="15" thickBot="1" x14ac:dyDescent="0.35">
      <c r="A34" s="29"/>
      <c r="B34" s="159"/>
      <c r="C34" s="24" t="s">
        <v>18</v>
      </c>
      <c r="D34" s="25">
        <f>B34</f>
        <v>0</v>
      </c>
      <c r="E34" s="241"/>
      <c r="F34" s="241"/>
      <c r="G34" s="264" t="s">
        <v>108</v>
      </c>
      <c r="H34" s="118" t="s">
        <v>239</v>
      </c>
      <c r="I34" s="201"/>
      <c r="J34" s="137"/>
      <c r="K34" s="137"/>
      <c r="L34" s="137"/>
      <c r="M34" s="137"/>
      <c r="N34" s="153"/>
      <c r="O34" s="156"/>
      <c r="P34" s="156"/>
      <c r="Q34" s="200"/>
      <c r="R34" s="201"/>
      <c r="S34" s="201"/>
      <c r="T34" s="137"/>
      <c r="U34" s="137"/>
      <c r="V34" s="137"/>
      <c r="W34" s="137"/>
      <c r="X34" s="153"/>
      <c r="Y34" s="156"/>
      <c r="Z34" s="156"/>
      <c r="AA34" s="241"/>
      <c r="AB34" s="241"/>
      <c r="AC34" s="241"/>
      <c r="AD34" s="241"/>
    </row>
    <row r="35" spans="1:30" ht="15" thickBot="1" x14ac:dyDescent="0.35">
      <c r="A35" s="29"/>
      <c r="B35" s="241"/>
      <c r="C35" s="241" t="s">
        <v>12</v>
      </c>
      <c r="D35" s="136">
        <f>INT((D14-10)/5)</f>
        <v>18</v>
      </c>
      <c r="E35" s="241"/>
      <c r="F35" s="241"/>
      <c r="G35" s="202" t="s">
        <v>250</v>
      </c>
      <c r="H35" s="239" t="s">
        <v>239</v>
      </c>
      <c r="I35" s="209"/>
      <c r="J35" s="205"/>
      <c r="K35" s="205"/>
      <c r="L35" s="205"/>
      <c r="M35" s="205"/>
      <c r="N35" s="206"/>
      <c r="O35" s="207"/>
      <c r="P35" s="207"/>
      <c r="Q35" s="208"/>
      <c r="R35" s="235"/>
      <c r="S35" s="209"/>
      <c r="T35" s="205"/>
      <c r="U35" s="205"/>
      <c r="V35" s="205"/>
      <c r="W35" s="205"/>
      <c r="X35" s="206"/>
      <c r="Y35" s="207"/>
      <c r="Z35" s="207"/>
      <c r="AA35" s="241"/>
      <c r="AB35" s="241"/>
      <c r="AC35" s="241"/>
      <c r="AD35" s="241"/>
    </row>
    <row r="36" spans="1:30" ht="15" thickBot="1" x14ac:dyDescent="0.35">
      <c r="A36" s="29"/>
      <c r="B36" s="241"/>
      <c r="C36" s="263" t="s">
        <v>7</v>
      </c>
      <c r="D36" s="229">
        <f>D27-(D30+D35)</f>
        <v>-15</v>
      </c>
      <c r="E36" s="241"/>
      <c r="F36" s="241"/>
      <c r="G36" s="586">
        <f>SUM(H36:H41)</f>
        <v>3</v>
      </c>
      <c r="H36" s="575">
        <f t="shared" ref="H36:H41" si="6">MAX(K36:N36)+MAX(U36:X36)</f>
        <v>2</v>
      </c>
      <c r="I36" s="259" t="s">
        <v>372</v>
      </c>
      <c r="J36" s="259"/>
      <c r="K36" s="259"/>
      <c r="L36" s="259"/>
      <c r="M36" s="259"/>
      <c r="N36" s="259">
        <v>1</v>
      </c>
      <c r="O36" s="216">
        <f t="shared" ref="O36:O41" si="7">(J36+K36)*$Y$3</f>
        <v>0</v>
      </c>
      <c r="P36" s="211"/>
      <c r="Q36" s="195"/>
      <c r="R36" s="284" t="s">
        <v>278</v>
      </c>
      <c r="S36" s="285" t="s">
        <v>293</v>
      </c>
      <c r="T36" s="286"/>
      <c r="U36" s="286">
        <v>0.5</v>
      </c>
      <c r="V36" s="286">
        <v>1</v>
      </c>
      <c r="W36" s="286">
        <v>1</v>
      </c>
      <c r="X36" s="286"/>
      <c r="Y36" s="216">
        <f t="shared" ref="Y36:Y41" si="8">(T36+U36)*$Y$3</f>
        <v>0.25</v>
      </c>
      <c r="Z36" s="211"/>
      <c r="AA36" s="241"/>
      <c r="AD36" s="241"/>
    </row>
    <row r="37" spans="1:30" ht="15.6" thickTop="1" thickBot="1" x14ac:dyDescent="0.35">
      <c r="A37" s="30"/>
      <c r="B37" s="261"/>
      <c r="C37" s="261" t="s">
        <v>34</v>
      </c>
      <c r="D37" s="262">
        <f>IF(D36&lt;=0,0,D35)</f>
        <v>0</v>
      </c>
      <c r="E37" s="241"/>
      <c r="F37" s="241"/>
      <c r="G37" s="265"/>
      <c r="H37" s="576">
        <f t="shared" si="6"/>
        <v>1</v>
      </c>
      <c r="I37" s="259"/>
      <c r="J37" s="259"/>
      <c r="K37" s="259"/>
      <c r="L37" s="259"/>
      <c r="M37" s="259"/>
      <c r="N37" s="259"/>
      <c r="O37" s="216">
        <f t="shared" si="7"/>
        <v>0</v>
      </c>
      <c r="P37" s="216"/>
      <c r="Q37" s="195"/>
      <c r="R37" s="287"/>
      <c r="S37" s="65" t="s">
        <v>279</v>
      </c>
      <c r="T37" s="67"/>
      <c r="U37" s="67"/>
      <c r="V37" s="67">
        <v>1</v>
      </c>
      <c r="W37" s="67">
        <v>1</v>
      </c>
      <c r="X37" s="286"/>
      <c r="Y37" s="216">
        <f t="shared" si="8"/>
        <v>0</v>
      </c>
      <c r="Z37" s="216"/>
      <c r="AA37" s="241"/>
      <c r="AB37" s="241"/>
      <c r="AC37" s="241"/>
      <c r="AD37" s="241"/>
    </row>
    <row r="38" spans="1:30" x14ac:dyDescent="0.3">
      <c r="A38" s="241"/>
      <c r="B38" s="241"/>
      <c r="C38" s="241"/>
      <c r="D38" s="241"/>
      <c r="E38" s="241"/>
      <c r="F38" s="241"/>
      <c r="G38" s="265"/>
      <c r="H38" s="576">
        <f t="shared" si="6"/>
        <v>0</v>
      </c>
      <c r="O38" s="216">
        <f>(J36+K36)*$Y$3</f>
        <v>0</v>
      </c>
      <c r="P38" s="216"/>
      <c r="Q38" s="195"/>
      <c r="R38" s="287" t="s">
        <v>278</v>
      </c>
      <c r="S38" s="65" t="s">
        <v>412</v>
      </c>
      <c r="T38" s="67">
        <v>1</v>
      </c>
      <c r="U38" s="67"/>
      <c r="V38" s="67"/>
      <c r="W38" s="67"/>
      <c r="X38" s="286"/>
      <c r="Y38" s="216">
        <f t="shared" si="8"/>
        <v>0.5</v>
      </c>
      <c r="Z38" s="216"/>
      <c r="AA38" s="241"/>
      <c r="AB38" s="241"/>
      <c r="AC38" s="241"/>
      <c r="AD38" s="241"/>
    </row>
    <row r="39" spans="1:30" x14ac:dyDescent="0.3">
      <c r="A39" s="241"/>
      <c r="B39" s="241"/>
      <c r="C39" s="241"/>
      <c r="D39" s="241"/>
      <c r="E39" s="241"/>
      <c r="F39" s="241"/>
      <c r="G39" s="265"/>
      <c r="H39" s="576">
        <f t="shared" si="6"/>
        <v>0</v>
      </c>
      <c r="I39" s="259"/>
      <c r="J39" s="259"/>
      <c r="K39" s="259"/>
      <c r="L39" s="259"/>
      <c r="M39" s="259"/>
      <c r="N39" s="259"/>
      <c r="O39" s="216">
        <f t="shared" si="7"/>
        <v>0</v>
      </c>
      <c r="P39" s="216"/>
      <c r="Q39" s="195"/>
      <c r="R39" s="265"/>
      <c r="S39" s="259"/>
      <c r="T39" s="259"/>
      <c r="U39" s="259"/>
      <c r="V39" s="259"/>
      <c r="W39" s="259"/>
      <c r="X39" s="253"/>
      <c r="Y39" s="216">
        <f t="shared" si="8"/>
        <v>0</v>
      </c>
      <c r="Z39" s="216"/>
      <c r="AA39" s="241"/>
      <c r="AB39" s="241"/>
      <c r="AC39" s="241"/>
      <c r="AD39" s="241"/>
    </row>
    <row r="40" spans="1:30" ht="15" thickBot="1" x14ac:dyDescent="0.35">
      <c r="A40" s="241"/>
      <c r="B40" s="241"/>
      <c r="C40" s="267" t="s">
        <v>27</v>
      </c>
      <c r="D40" s="267">
        <f>D19-D37</f>
        <v>3</v>
      </c>
      <c r="E40" s="241"/>
      <c r="F40" s="241"/>
      <c r="G40" s="265"/>
      <c r="H40" s="576">
        <f t="shared" si="6"/>
        <v>0</v>
      </c>
      <c r="I40" s="259"/>
      <c r="J40" s="259"/>
      <c r="K40" s="259"/>
      <c r="L40" s="259"/>
      <c r="M40" s="259"/>
      <c r="N40" s="259"/>
      <c r="O40" s="216">
        <f t="shared" si="7"/>
        <v>0</v>
      </c>
      <c r="P40" s="216"/>
      <c r="Q40" s="195"/>
      <c r="R40" s="265"/>
      <c r="S40" s="259"/>
      <c r="T40" s="259"/>
      <c r="U40" s="259"/>
      <c r="V40" s="259"/>
      <c r="W40" s="259"/>
      <c r="X40" s="253"/>
      <c r="Y40" s="216">
        <f t="shared" si="8"/>
        <v>0</v>
      </c>
      <c r="Z40" s="216"/>
      <c r="AA40" s="241"/>
      <c r="AB40" s="241"/>
      <c r="AC40" s="241"/>
      <c r="AD40" s="241"/>
    </row>
    <row r="41" spans="1:30" ht="15.6" thickTop="1" thickBot="1" x14ac:dyDescent="0.35">
      <c r="G41" s="268"/>
      <c r="H41" s="577">
        <f t="shared" si="6"/>
        <v>0</v>
      </c>
      <c r="I41" s="261"/>
      <c r="J41" s="269"/>
      <c r="K41" s="269"/>
      <c r="L41" s="269"/>
      <c r="M41" s="269"/>
      <c r="N41" s="269"/>
      <c r="O41" s="232">
        <f t="shared" si="7"/>
        <v>0</v>
      </c>
      <c r="P41" s="232"/>
      <c r="Q41" s="226"/>
      <c r="R41" s="268"/>
      <c r="S41" s="269"/>
      <c r="T41" s="269"/>
      <c r="U41" s="269"/>
      <c r="V41" s="269"/>
      <c r="W41" s="269"/>
      <c r="X41" s="261"/>
      <c r="Y41" s="232">
        <f t="shared" si="8"/>
        <v>0</v>
      </c>
      <c r="Z41" s="232"/>
      <c r="AA41" s="241"/>
      <c r="AB41" s="241"/>
      <c r="AC41" s="241"/>
      <c r="AD41" s="241"/>
    </row>
    <row r="42" spans="1:30" ht="15" thickBot="1" x14ac:dyDescent="0.35">
      <c r="G42" s="429" t="s">
        <v>248</v>
      </c>
      <c r="H42" s="225" t="s">
        <v>69</v>
      </c>
      <c r="I42" s="432" t="s">
        <v>237</v>
      </c>
      <c r="J42" s="417" t="s">
        <v>228</v>
      </c>
      <c r="K42" s="418" t="s">
        <v>204</v>
      </c>
      <c r="L42" s="418" t="s">
        <v>100</v>
      </c>
      <c r="M42" s="418" t="s">
        <v>205</v>
      </c>
      <c r="N42" s="418" t="s">
        <v>206</v>
      </c>
      <c r="O42" s="419" t="s">
        <v>27</v>
      </c>
      <c r="P42" s="418" t="s">
        <v>236</v>
      </c>
      <c r="Q42" s="226"/>
      <c r="R42" s="442" t="s">
        <v>41</v>
      </c>
      <c r="S42" s="420" t="s">
        <v>237</v>
      </c>
      <c r="T42" s="421" t="s">
        <v>228</v>
      </c>
      <c r="U42" s="422" t="s">
        <v>204</v>
      </c>
      <c r="V42" s="422" t="s">
        <v>100</v>
      </c>
      <c r="W42" s="422" t="s">
        <v>205</v>
      </c>
      <c r="X42" s="422" t="s">
        <v>206</v>
      </c>
      <c r="Y42" s="419" t="s">
        <v>27</v>
      </c>
      <c r="Z42" s="419" t="s">
        <v>236</v>
      </c>
      <c r="AA42" s="241"/>
      <c r="AB42" s="241"/>
      <c r="AC42" s="241"/>
      <c r="AD42" s="241"/>
    </row>
    <row r="43" spans="1:30" x14ac:dyDescent="0.3">
      <c r="G43" s="430" t="s">
        <v>373</v>
      </c>
      <c r="H43" s="231">
        <f>MAX(K43:N43)+MAX(U43:X43)</f>
        <v>1</v>
      </c>
      <c r="I43" s="379"/>
      <c r="J43" s="241"/>
      <c r="K43" s="241"/>
      <c r="L43" s="241"/>
      <c r="M43" s="241"/>
      <c r="N43" s="241"/>
      <c r="O43" s="211">
        <f>(J43+K43)*$Y$3</f>
        <v>0</v>
      </c>
      <c r="P43" s="440"/>
      <c r="Q43" s="195"/>
      <c r="R43" s="70" t="s">
        <v>374</v>
      </c>
      <c r="S43" s="274" t="s">
        <v>561</v>
      </c>
      <c r="T43" s="274"/>
      <c r="U43" s="274">
        <v>1</v>
      </c>
      <c r="V43" s="274">
        <v>1</v>
      </c>
      <c r="W43" s="274">
        <v>1</v>
      </c>
      <c r="X43" s="272"/>
      <c r="Y43" s="288">
        <f>(T43+U43)*$Y$3</f>
        <v>0.5</v>
      </c>
      <c r="Z43" s="211"/>
      <c r="AA43" s="241"/>
      <c r="AB43" s="241"/>
      <c r="AC43" s="241"/>
      <c r="AD43" s="241"/>
    </row>
    <row r="44" spans="1:30" ht="15" thickBot="1" x14ac:dyDescent="0.35">
      <c r="G44" s="431" t="s">
        <v>173</v>
      </c>
      <c r="H44" s="225">
        <f>MAX(K44:N44)+MAX(U44:X44)</f>
        <v>0</v>
      </c>
      <c r="I44" s="433"/>
      <c r="J44" s="269"/>
      <c r="K44" s="269"/>
      <c r="L44" s="269"/>
      <c r="M44" s="269"/>
      <c r="N44" s="269"/>
      <c r="O44" s="232">
        <f>(J44+K44)*$Y$3</f>
        <v>0</v>
      </c>
      <c r="P44" s="441"/>
      <c r="Q44" s="226"/>
      <c r="R44" s="260"/>
      <c r="S44" s="261"/>
      <c r="T44" s="261"/>
      <c r="U44" s="261"/>
      <c r="V44" s="261"/>
      <c r="W44" s="261"/>
      <c r="X44" s="262"/>
      <c r="Y44" s="289">
        <f>(T44+U44)*$Y$3</f>
        <v>0</v>
      </c>
      <c r="Z44" s="232"/>
      <c r="AA44" s="241"/>
      <c r="AB44" s="241"/>
      <c r="AC44" s="241"/>
      <c r="AD44" s="241"/>
    </row>
    <row r="45" spans="1:30" x14ac:dyDescent="0.3">
      <c r="AA45" s="241"/>
      <c r="AB45" s="241"/>
      <c r="AC45" s="241"/>
      <c r="AD45" s="241"/>
    </row>
    <row r="46" spans="1:30" x14ac:dyDescent="0.3">
      <c r="AA46" s="241"/>
      <c r="AB46" s="241"/>
      <c r="AC46" s="241"/>
      <c r="AD46" s="241"/>
    </row>
    <row r="47" spans="1:30" x14ac:dyDescent="0.3">
      <c r="AA47" s="241"/>
      <c r="AB47" s="241"/>
      <c r="AC47" s="241"/>
      <c r="AD47" s="241"/>
    </row>
    <row r="48" spans="1:30" x14ac:dyDescent="0.3"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</row>
    <row r="49" spans="7:30" x14ac:dyDescent="0.3"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</row>
    <row r="50" spans="7:30" x14ac:dyDescent="0.3"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</row>
    <row r="51" spans="7:30" x14ac:dyDescent="0.3"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</row>
    <row r="52" spans="7:30" x14ac:dyDescent="0.3"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</row>
    <row r="53" spans="7:30" x14ac:dyDescent="0.3"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</row>
    <row r="54" spans="7:30" x14ac:dyDescent="0.3"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</row>
    <row r="55" spans="7:30" x14ac:dyDescent="0.3"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</row>
    <row r="56" spans="7:30" x14ac:dyDescent="0.3"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</row>
    <row r="57" spans="7:30" x14ac:dyDescent="0.3"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</row>
    <row r="58" spans="7:30" x14ac:dyDescent="0.3"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</row>
    <row r="59" spans="7:30" x14ac:dyDescent="0.3"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</row>
    <row r="60" spans="7:30" x14ac:dyDescent="0.3"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</row>
    <row r="61" spans="7:30" x14ac:dyDescent="0.3"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</row>
    <row r="62" spans="7:30" x14ac:dyDescent="0.3"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</row>
    <row r="63" spans="7:30" x14ac:dyDescent="0.3"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</row>
    <row r="64" spans="7:30" x14ac:dyDescent="0.3"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</row>
    <row r="65" spans="7:30" x14ac:dyDescent="0.3"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</row>
    <row r="66" spans="7:30" x14ac:dyDescent="0.3"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</row>
    <row r="67" spans="7:30" x14ac:dyDescent="0.3"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</row>
    <row r="68" spans="7:30" x14ac:dyDescent="0.3"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</row>
    <row r="69" spans="7:30" x14ac:dyDescent="0.3"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</row>
    <row r="70" spans="7:30" x14ac:dyDescent="0.3"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</row>
    <row r="71" spans="7:30" x14ac:dyDescent="0.3"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</row>
    <row r="72" spans="7:30" x14ac:dyDescent="0.3"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</row>
    <row r="73" spans="7:30" x14ac:dyDescent="0.3"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</row>
    <row r="74" spans="7:30" x14ac:dyDescent="0.3"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</row>
    <row r="75" spans="7:30" x14ac:dyDescent="0.3"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</row>
    <row r="76" spans="7:30" x14ac:dyDescent="0.3"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</row>
    <row r="77" spans="7:30" x14ac:dyDescent="0.3"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</row>
    <row r="78" spans="7:30" x14ac:dyDescent="0.3"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</row>
    <row r="79" spans="7:30" x14ac:dyDescent="0.3"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</row>
    <row r="80" spans="7:30" x14ac:dyDescent="0.3"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</row>
    <row r="81" spans="7:30" x14ac:dyDescent="0.3"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</row>
    <row r="82" spans="7:30" x14ac:dyDescent="0.3"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</row>
    <row r="83" spans="7:30" x14ac:dyDescent="0.3"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</row>
    <row r="84" spans="7:30" x14ac:dyDescent="0.3"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</row>
    <row r="85" spans="7:30" x14ac:dyDescent="0.3"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</row>
    <row r="86" spans="7:30" x14ac:dyDescent="0.3"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</row>
    <row r="87" spans="7:30" x14ac:dyDescent="0.3"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</row>
    <row r="88" spans="7:30" x14ac:dyDescent="0.3"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</row>
    <row r="89" spans="7:30" x14ac:dyDescent="0.3"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</row>
    <row r="90" spans="7:30" x14ac:dyDescent="0.3"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</row>
    <row r="91" spans="7:30" x14ac:dyDescent="0.3"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</row>
    <row r="92" spans="7:30" x14ac:dyDescent="0.3"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</row>
    <row r="93" spans="7:30" x14ac:dyDescent="0.3"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</row>
    <row r="94" spans="7:30" x14ac:dyDescent="0.3"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</row>
    <row r="95" spans="7:30" x14ac:dyDescent="0.3"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</row>
    <row r="96" spans="7:30" x14ac:dyDescent="0.3"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</row>
    <row r="97" spans="7:26" x14ac:dyDescent="0.3"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</row>
    <row r="98" spans="7:26" x14ac:dyDescent="0.3"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</row>
  </sheetData>
  <mergeCells count="1">
    <mergeCell ref="T4:U4"/>
  </mergeCells>
  <conditionalFormatting sqref="D40">
    <cfRule type="cellIs" dxfId="26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conditionalFormatting sqref="D2">
    <cfRule type="cellIs" dxfId="23" priority="1" operator="lessThan">
      <formula>0</formula>
    </cfRule>
    <cfRule type="cellIs" dxfId="22" priority="2" operator="equal">
      <formula>0</formula>
    </cfRule>
    <cfRule type="cellIs" dxfId="21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8" tint="0.79998168889431442"/>
  </sheetPr>
  <dimension ref="A1:AD41"/>
  <sheetViews>
    <sheetView topLeftCell="A5" zoomScale="89" zoomScaleNormal="89" workbookViewId="0">
      <selection activeCell="B7" sqref="B7"/>
    </sheetView>
  </sheetViews>
  <sheetFormatPr defaultColWidth="9.109375" defaultRowHeight="14.4" x14ac:dyDescent="0.3"/>
  <cols>
    <col min="1" max="1" width="9.109375" style="241"/>
    <col min="2" max="2" width="10.6640625" style="241" customWidth="1"/>
    <col min="3" max="3" width="18.109375" style="241" customWidth="1"/>
    <col min="4" max="4" width="9.109375" style="241"/>
    <col min="5" max="6" width="4.109375" style="241" customWidth="1"/>
    <col min="7" max="7" width="19" style="241" customWidth="1"/>
    <col min="8" max="8" width="5.5546875" style="52" customWidth="1"/>
    <col min="9" max="9" width="27.5546875" style="241" customWidth="1"/>
    <col min="10" max="10" width="5.88671875" style="241" customWidth="1"/>
    <col min="11" max="11" width="6.44140625" style="241" customWidth="1"/>
    <col min="12" max="12" width="6.5546875" style="241" customWidth="1"/>
    <col min="13" max="13" width="6.44140625" style="241" customWidth="1"/>
    <col min="14" max="14" width="6.109375" style="241" customWidth="1"/>
    <col min="15" max="15" width="9.109375" style="241"/>
    <col min="16" max="16" width="6.33203125" style="241" customWidth="1"/>
    <col min="17" max="17" width="3.44140625" style="241" customWidth="1"/>
    <col min="18" max="18" width="13.6640625" style="241" customWidth="1"/>
    <col min="19" max="19" width="26.44140625" style="241" customWidth="1"/>
    <col min="20" max="24" width="6" style="241" customWidth="1"/>
    <col min="25" max="25" width="9.109375" style="241"/>
    <col min="26" max="26" width="6.5546875" style="241" customWidth="1"/>
    <col min="27" max="28" width="9.109375" style="241"/>
    <col min="29" max="29" width="17.6640625" style="241" customWidth="1"/>
    <col min="30" max="16384" width="9.109375" style="241"/>
  </cols>
  <sheetData>
    <row r="1" spans="1:30" ht="15" thickBot="1" x14ac:dyDescent="0.35"/>
    <row r="2" spans="1:30" ht="15" thickBot="1" x14ac:dyDescent="0.35">
      <c r="C2" s="242" t="s">
        <v>28</v>
      </c>
      <c r="D2" s="242">
        <f>D40+D3+D4</f>
        <v>4.4000000000000004</v>
      </c>
      <c r="I2" s="243" t="s">
        <v>33</v>
      </c>
      <c r="J2" s="244">
        <f t="shared" ref="J2:P2" si="0">J6+T6</f>
        <v>6</v>
      </c>
      <c r="K2" s="244">
        <f t="shared" si="0"/>
        <v>12</v>
      </c>
      <c r="L2" s="244">
        <f t="shared" si="0"/>
        <v>12</v>
      </c>
      <c r="M2" s="244">
        <f t="shared" si="0"/>
        <v>10</v>
      </c>
      <c r="N2" s="244">
        <f t="shared" si="0"/>
        <v>3</v>
      </c>
      <c r="O2" s="244">
        <f t="shared" si="0"/>
        <v>9</v>
      </c>
      <c r="P2" s="244">
        <f t="shared" si="0"/>
        <v>0</v>
      </c>
      <c r="W2" s="168" t="s">
        <v>229</v>
      </c>
      <c r="X2" s="169"/>
      <c r="Y2" s="170">
        <v>0.2</v>
      </c>
      <c r="Z2" s="171"/>
    </row>
    <row r="3" spans="1:30" ht="15" thickBot="1" x14ac:dyDescent="0.35">
      <c r="C3" s="245" t="s">
        <v>154</v>
      </c>
      <c r="D3" s="245">
        <v>0.8</v>
      </c>
      <c r="W3" s="172" t="s">
        <v>227</v>
      </c>
      <c r="X3" s="173"/>
      <c r="Y3" s="174">
        <v>0.5</v>
      </c>
      <c r="AB3" s="372" t="s">
        <v>344</v>
      </c>
      <c r="AC3" s="373"/>
      <c r="AD3" s="374">
        <f>SUM(Y25:Y32)</f>
        <v>4</v>
      </c>
    </row>
    <row r="4" spans="1:30" ht="15" thickBot="1" x14ac:dyDescent="0.35">
      <c r="C4" s="245" t="s">
        <v>155</v>
      </c>
      <c r="D4" s="245">
        <v>0</v>
      </c>
      <c r="I4" s="246" t="s">
        <v>15</v>
      </c>
      <c r="J4" s="246"/>
      <c r="K4" s="246"/>
      <c r="Q4" s="99"/>
      <c r="R4" s="247" t="s">
        <v>11</v>
      </c>
      <c r="S4" s="247"/>
      <c r="T4" s="587" t="s">
        <v>10</v>
      </c>
      <c r="U4" s="587"/>
    </row>
    <row r="5" spans="1:30" ht="15.6" thickTop="1" thickBot="1" x14ac:dyDescent="0.35">
      <c r="G5" s="175" t="s">
        <v>235</v>
      </c>
      <c r="H5" s="176">
        <f>SUM(H8:H33)</f>
        <v>24</v>
      </c>
      <c r="I5" s="246" t="s">
        <v>8</v>
      </c>
      <c r="J5" s="177" t="s">
        <v>228</v>
      </c>
      <c r="K5" s="248" t="s">
        <v>204</v>
      </c>
      <c r="L5" s="248" t="s">
        <v>100</v>
      </c>
      <c r="M5" s="248" t="s">
        <v>205</v>
      </c>
      <c r="N5" s="248" t="s">
        <v>206</v>
      </c>
      <c r="O5" s="248" t="s">
        <v>27</v>
      </c>
      <c r="P5" s="248" t="s">
        <v>236</v>
      </c>
      <c r="Q5" s="99"/>
      <c r="R5" s="247" t="s">
        <v>8</v>
      </c>
      <c r="S5" s="247"/>
      <c r="T5" s="178" t="s">
        <v>228</v>
      </c>
      <c r="U5" s="249" t="s">
        <v>204</v>
      </c>
      <c r="V5" s="249" t="s">
        <v>100</v>
      </c>
      <c r="W5" s="249" t="s">
        <v>205</v>
      </c>
      <c r="X5" s="249" t="s">
        <v>206</v>
      </c>
      <c r="Y5" s="249" t="s">
        <v>27</v>
      </c>
      <c r="Z5" s="248" t="s">
        <v>236</v>
      </c>
    </row>
    <row r="6" spans="1:30" ht="15" thickBot="1" x14ac:dyDescent="0.35">
      <c r="A6" s="179"/>
      <c r="B6" s="274" t="s">
        <v>0</v>
      </c>
      <c r="C6" s="274" t="s">
        <v>4</v>
      </c>
      <c r="D6" s="272" t="s">
        <v>5</v>
      </c>
      <c r="G6" s="180" t="s">
        <v>213</v>
      </c>
      <c r="H6" s="181">
        <f>H5*50</f>
        <v>1200</v>
      </c>
      <c r="J6" s="244">
        <f t="shared" ref="J6:O6" si="1">SUM(J10:J112)</f>
        <v>0</v>
      </c>
      <c r="K6" s="244">
        <f t="shared" si="1"/>
        <v>0</v>
      </c>
      <c r="L6" s="244">
        <f t="shared" si="1"/>
        <v>7</v>
      </c>
      <c r="M6" s="244">
        <f t="shared" si="1"/>
        <v>5</v>
      </c>
      <c r="N6" s="244">
        <f t="shared" si="1"/>
        <v>3</v>
      </c>
      <c r="O6" s="244">
        <f t="shared" si="1"/>
        <v>0</v>
      </c>
      <c r="P6" s="244"/>
      <c r="Q6" s="99"/>
      <c r="T6" s="244">
        <f t="shared" ref="T6:Y6" si="2">SUM(T14:T112)</f>
        <v>6</v>
      </c>
      <c r="U6" s="244">
        <f t="shared" si="2"/>
        <v>12</v>
      </c>
      <c r="V6" s="244">
        <f t="shared" si="2"/>
        <v>5</v>
      </c>
      <c r="W6" s="244">
        <f t="shared" si="2"/>
        <v>5</v>
      </c>
      <c r="X6" s="244">
        <f t="shared" si="2"/>
        <v>0</v>
      </c>
      <c r="Y6" s="244">
        <f t="shared" si="2"/>
        <v>9</v>
      </c>
      <c r="Z6" s="244"/>
    </row>
    <row r="7" spans="1:30" ht="15.6" thickTop="1" thickBot="1" x14ac:dyDescent="0.35">
      <c r="A7" s="182"/>
      <c r="B7" s="31" t="s">
        <v>268</v>
      </c>
      <c r="C7" s="241" t="s">
        <v>149</v>
      </c>
      <c r="D7" s="254">
        <v>8</v>
      </c>
      <c r="Q7" s="99"/>
    </row>
    <row r="8" spans="1:30" ht="15" thickBot="1" x14ac:dyDescent="0.35">
      <c r="A8" s="29"/>
      <c r="B8" s="241" t="s">
        <v>29</v>
      </c>
      <c r="C8" s="241" t="s">
        <v>150</v>
      </c>
      <c r="D8" s="254">
        <v>8</v>
      </c>
      <c r="G8" s="183" t="s">
        <v>113</v>
      </c>
      <c r="H8" s="184" t="s">
        <v>69</v>
      </c>
      <c r="I8" s="185" t="s">
        <v>237</v>
      </c>
      <c r="J8" s="186" t="s">
        <v>228</v>
      </c>
      <c r="K8" s="187" t="s">
        <v>204</v>
      </c>
      <c r="L8" s="187" t="s">
        <v>100</v>
      </c>
      <c r="M8" s="187" t="s">
        <v>205</v>
      </c>
      <c r="N8" s="187" t="s">
        <v>206</v>
      </c>
      <c r="O8" s="188" t="s">
        <v>27</v>
      </c>
      <c r="P8" s="188" t="s">
        <v>236</v>
      </c>
      <c r="Q8" s="189"/>
      <c r="R8" s="185" t="s">
        <v>41</v>
      </c>
      <c r="S8" s="185" t="s">
        <v>237</v>
      </c>
      <c r="T8" s="186" t="s">
        <v>228</v>
      </c>
      <c r="U8" s="187" t="s">
        <v>204</v>
      </c>
      <c r="V8" s="187" t="s">
        <v>100</v>
      </c>
      <c r="W8" s="187" t="s">
        <v>205</v>
      </c>
      <c r="X8" s="187" t="s">
        <v>206</v>
      </c>
      <c r="Y8" s="188" t="s">
        <v>27</v>
      </c>
      <c r="Z8" s="188" t="s">
        <v>236</v>
      </c>
    </row>
    <row r="9" spans="1:30" ht="15" thickBot="1" x14ac:dyDescent="0.35">
      <c r="A9" s="29"/>
      <c r="B9" s="241" t="s">
        <v>30</v>
      </c>
      <c r="C9" s="241" t="s">
        <v>151</v>
      </c>
      <c r="D9" s="254">
        <v>8</v>
      </c>
      <c r="G9" s="264" t="s">
        <v>238</v>
      </c>
      <c r="H9" s="190" t="s">
        <v>239</v>
      </c>
      <c r="I9" s="461" t="s">
        <v>410</v>
      </c>
      <c r="J9" s="192"/>
      <c r="K9" s="192"/>
      <c r="L9" s="192"/>
      <c r="M9" s="192"/>
      <c r="N9" s="193"/>
      <c r="O9" s="194"/>
      <c r="P9" s="194"/>
      <c r="Q9" s="195"/>
      <c r="R9" s="191"/>
      <c r="S9" s="191"/>
      <c r="T9" s="192"/>
      <c r="U9" s="192"/>
      <c r="V9" s="192"/>
      <c r="W9" s="192"/>
      <c r="X9" s="193"/>
      <c r="Y9" s="194"/>
      <c r="Z9" s="194"/>
    </row>
    <row r="10" spans="1:30" x14ac:dyDescent="0.3">
      <c r="A10" s="29"/>
      <c r="B10" s="241" t="s">
        <v>2</v>
      </c>
      <c r="C10" s="241" t="s">
        <v>153</v>
      </c>
      <c r="D10" s="254">
        <v>0</v>
      </c>
      <c r="G10" s="255" t="s">
        <v>240</v>
      </c>
      <c r="H10" s="196" t="s">
        <v>239</v>
      </c>
      <c r="I10" s="197"/>
      <c r="J10" s="26"/>
      <c r="K10" s="26"/>
      <c r="L10" s="26"/>
      <c r="M10" s="26"/>
      <c r="N10" s="39"/>
      <c r="O10" s="198"/>
      <c r="P10" s="198"/>
      <c r="Q10" s="195"/>
      <c r="R10" s="197"/>
      <c r="S10" s="197"/>
      <c r="T10" s="26"/>
      <c r="U10" s="26"/>
      <c r="V10" s="26"/>
      <c r="W10" s="26"/>
      <c r="X10" s="39"/>
      <c r="Y10" s="198"/>
      <c r="Z10" s="198"/>
    </row>
    <row r="11" spans="1:30" x14ac:dyDescent="0.3">
      <c r="A11" s="29"/>
      <c r="B11" s="241" t="s">
        <v>83</v>
      </c>
      <c r="C11" s="241" t="s">
        <v>6</v>
      </c>
      <c r="D11" s="254">
        <v>0</v>
      </c>
      <c r="G11" s="255"/>
      <c r="H11" s="196" t="s">
        <v>239</v>
      </c>
      <c r="I11" s="197" t="s">
        <v>455</v>
      </c>
      <c r="J11" s="26"/>
      <c r="K11" s="26"/>
      <c r="L11" s="26"/>
      <c r="M11" s="26"/>
      <c r="N11" s="39">
        <v>1</v>
      </c>
      <c r="O11" s="198"/>
      <c r="P11" s="198"/>
      <c r="Q11" s="195"/>
      <c r="R11" s="197"/>
      <c r="S11" s="197"/>
      <c r="T11" s="26"/>
      <c r="U11" s="26"/>
      <c r="V11" s="26"/>
      <c r="W11" s="26"/>
      <c r="X11" s="39"/>
      <c r="Y11" s="198"/>
      <c r="Z11" s="198"/>
    </row>
    <row r="12" spans="1:30" ht="15" thickBot="1" x14ac:dyDescent="0.35">
      <c r="A12" s="29"/>
      <c r="C12" s="256"/>
      <c r="D12" s="254"/>
      <c r="G12" s="255"/>
      <c r="H12" s="196" t="s">
        <v>239</v>
      </c>
      <c r="I12" s="197"/>
      <c r="J12" s="26"/>
      <c r="K12" s="26"/>
      <c r="L12" s="26"/>
      <c r="M12" s="26"/>
      <c r="N12" s="39"/>
      <c r="O12" s="198"/>
      <c r="P12" s="198"/>
      <c r="Q12" s="195"/>
      <c r="R12" s="197"/>
      <c r="S12" s="197"/>
      <c r="T12" s="26"/>
      <c r="U12" s="26"/>
      <c r="V12" s="26"/>
      <c r="W12" s="26"/>
      <c r="X12" s="39"/>
      <c r="Y12" s="198"/>
      <c r="Z12" s="198"/>
    </row>
    <row r="13" spans="1:30" ht="15" thickBot="1" x14ac:dyDescent="0.35">
      <c r="A13" s="29"/>
      <c r="B13" s="256" t="s">
        <v>152</v>
      </c>
      <c r="D13" s="254"/>
      <c r="G13" s="250" t="s">
        <v>252</v>
      </c>
      <c r="H13" s="184" t="s">
        <v>69</v>
      </c>
      <c r="I13" s="185" t="s">
        <v>237</v>
      </c>
      <c r="J13" s="186" t="s">
        <v>228</v>
      </c>
      <c r="K13" s="187" t="s">
        <v>204</v>
      </c>
      <c r="L13" s="187" t="s">
        <v>100</v>
      </c>
      <c r="M13" s="187" t="s">
        <v>205</v>
      </c>
      <c r="N13" s="187" t="s">
        <v>206</v>
      </c>
      <c r="O13" s="188" t="s">
        <v>27</v>
      </c>
      <c r="P13" s="188" t="s">
        <v>236</v>
      </c>
      <c r="Q13" s="189"/>
      <c r="R13" s="185" t="s">
        <v>41</v>
      </c>
      <c r="S13" s="185" t="s">
        <v>237</v>
      </c>
      <c r="T13" s="186" t="s">
        <v>228</v>
      </c>
      <c r="U13" s="187" t="s">
        <v>204</v>
      </c>
      <c r="V13" s="187" t="s">
        <v>100</v>
      </c>
      <c r="W13" s="187" t="s">
        <v>205</v>
      </c>
      <c r="X13" s="187" t="s">
        <v>206</v>
      </c>
      <c r="Y13" s="188" t="s">
        <v>27</v>
      </c>
      <c r="Z13" s="188" t="s">
        <v>236</v>
      </c>
    </row>
    <row r="14" spans="1:30" ht="15" thickBot="1" x14ac:dyDescent="0.35">
      <c r="A14" s="29"/>
      <c r="C14" s="258" t="s">
        <v>7</v>
      </c>
      <c r="D14" s="199">
        <f>SUM(D7:D13)</f>
        <v>24</v>
      </c>
      <c r="G14" s="252" t="s">
        <v>161</v>
      </c>
      <c r="H14" s="118" t="s">
        <v>239</v>
      </c>
      <c r="I14" s="201" t="s">
        <v>454</v>
      </c>
      <c r="J14" s="137"/>
      <c r="K14" s="137"/>
      <c r="L14" s="137">
        <v>1</v>
      </c>
      <c r="M14" s="137">
        <v>1</v>
      </c>
      <c r="N14" s="153"/>
      <c r="O14" s="156"/>
      <c r="P14" s="156"/>
      <c r="Q14" s="342"/>
      <c r="R14" s="156"/>
      <c r="S14" s="155"/>
      <c r="T14" s="137"/>
      <c r="U14" s="137"/>
      <c r="V14" s="137"/>
      <c r="W14" s="137"/>
      <c r="X14" s="153"/>
      <c r="Y14" s="156"/>
      <c r="Z14" s="156"/>
    </row>
    <row r="15" spans="1:30" ht="15.6" thickTop="1" thickBot="1" x14ac:dyDescent="0.35">
      <c r="A15" s="30"/>
      <c r="B15" s="261"/>
      <c r="C15" s="261"/>
      <c r="D15" s="262"/>
      <c r="G15" s="202" t="s">
        <v>242</v>
      </c>
      <c r="H15" s="227" t="s">
        <v>239</v>
      </c>
      <c r="I15" s="209"/>
      <c r="J15" s="205"/>
      <c r="K15" s="205"/>
      <c r="L15" s="205"/>
      <c r="M15" s="205"/>
      <c r="N15" s="206"/>
      <c r="O15" s="207"/>
      <c r="P15" s="207"/>
      <c r="Q15" s="343"/>
      <c r="R15" s="304"/>
      <c r="S15" s="306"/>
      <c r="T15" s="236"/>
      <c r="U15" s="236"/>
      <c r="V15" s="236"/>
      <c r="W15" s="236"/>
      <c r="X15" s="106"/>
      <c r="Y15" s="304"/>
      <c r="Z15" s="304"/>
    </row>
    <row r="16" spans="1:30" ht="15" thickBot="1" x14ac:dyDescent="0.35">
      <c r="G16" s="202">
        <f>SUM(H16:H27)</f>
        <v>18</v>
      </c>
      <c r="H16" s="228">
        <f>MAX(K16:N16)+MAX(U16:X16)</f>
        <v>3</v>
      </c>
      <c r="I16" s="391" t="s">
        <v>89</v>
      </c>
      <c r="L16" s="241">
        <v>0</v>
      </c>
      <c r="M16" s="241">
        <v>0</v>
      </c>
      <c r="N16" s="241">
        <v>2</v>
      </c>
      <c r="O16" s="211">
        <f>(J16+K16)*$Y$3</f>
        <v>0</v>
      </c>
      <c r="P16" s="211"/>
      <c r="Q16" s="293"/>
      <c r="R16" s="70" t="s">
        <v>130</v>
      </c>
      <c r="S16" s="377" t="s">
        <v>48</v>
      </c>
      <c r="T16" s="274"/>
      <c r="U16" s="274"/>
      <c r="V16" s="274">
        <v>1</v>
      </c>
      <c r="W16" s="274">
        <v>1</v>
      </c>
      <c r="X16" s="274"/>
      <c r="Y16" s="233">
        <f>(T16+U16)*$Y$3</f>
        <v>0</v>
      </c>
      <c r="Z16" s="233"/>
    </row>
    <row r="17" spans="1:26" x14ac:dyDescent="0.3">
      <c r="A17" s="28" t="s">
        <v>19</v>
      </c>
      <c r="B17" s="274"/>
      <c r="C17" s="274" t="s">
        <v>13</v>
      </c>
      <c r="D17" s="215">
        <f>(J6+K6)*$Y$3</f>
        <v>0</v>
      </c>
      <c r="G17" s="255"/>
      <c r="H17" s="228">
        <f t="shared" ref="H17:H27" si="3">MAX(K17:N17)+MAX(U17:X17)</f>
        <v>3</v>
      </c>
      <c r="I17" s="392" t="s">
        <v>49</v>
      </c>
      <c r="J17" s="266"/>
      <c r="K17" s="266"/>
      <c r="L17" s="266">
        <v>1</v>
      </c>
      <c r="M17" s="266"/>
      <c r="N17" s="266"/>
      <c r="O17" s="216">
        <f t="shared" ref="O17:O27" si="4">(J17+K17)*$Y$3</f>
        <v>0</v>
      </c>
      <c r="P17" s="216"/>
      <c r="Q17" s="293"/>
      <c r="R17" s="255" t="s">
        <v>73</v>
      </c>
      <c r="S17" s="378" t="s">
        <v>147</v>
      </c>
      <c r="T17" s="259">
        <v>1</v>
      </c>
      <c r="U17" s="253">
        <v>2</v>
      </c>
      <c r="V17" s="253"/>
      <c r="W17" s="253"/>
      <c r="X17" s="253"/>
      <c r="Y17" s="216">
        <f t="shared" ref="Y17:Y27" si="5">(T17+U17)*$Y$3</f>
        <v>1.5</v>
      </c>
      <c r="Z17" s="216"/>
    </row>
    <row r="18" spans="1:26" ht="15" thickBot="1" x14ac:dyDescent="0.35">
      <c r="A18" s="29"/>
      <c r="C18" s="258" t="s">
        <v>14</v>
      </c>
      <c r="D18" s="217">
        <f>(J2+K2)*$Y$2</f>
        <v>3.6</v>
      </c>
      <c r="G18" s="255"/>
      <c r="H18" s="228">
        <f t="shared" si="3"/>
        <v>4</v>
      </c>
      <c r="I18" s="392" t="s">
        <v>72</v>
      </c>
      <c r="J18" s="266"/>
      <c r="K18" s="266"/>
      <c r="L18" s="266">
        <v>1</v>
      </c>
      <c r="M18" s="266">
        <v>2</v>
      </c>
      <c r="N18" s="266"/>
      <c r="O18" s="216">
        <f t="shared" si="4"/>
        <v>0</v>
      </c>
      <c r="P18" s="216"/>
      <c r="Q18" s="293"/>
      <c r="R18" s="265" t="s">
        <v>78</v>
      </c>
      <c r="S18" s="378" t="s">
        <v>110</v>
      </c>
      <c r="T18" s="259">
        <v>2</v>
      </c>
      <c r="U18" s="259"/>
      <c r="V18" s="259">
        <v>2</v>
      </c>
      <c r="W18" s="259">
        <v>1</v>
      </c>
      <c r="X18" s="253"/>
      <c r="Y18" s="216">
        <f t="shared" si="5"/>
        <v>1</v>
      </c>
      <c r="Z18" s="216"/>
    </row>
    <row r="19" spans="1:26" ht="15.6" thickTop="1" thickBot="1" x14ac:dyDescent="0.35">
      <c r="A19" s="30"/>
      <c r="B19" s="261"/>
      <c r="C19" s="218" t="s">
        <v>7</v>
      </c>
      <c r="D19" s="219">
        <f>SUM(D17:D18)</f>
        <v>3.6</v>
      </c>
      <c r="G19" s="255"/>
      <c r="H19" s="228">
        <f t="shared" si="3"/>
        <v>1</v>
      </c>
      <c r="I19" s="392" t="s">
        <v>52</v>
      </c>
      <c r="J19" s="266"/>
      <c r="K19" s="266"/>
      <c r="L19" s="266">
        <v>1</v>
      </c>
      <c r="M19" s="266"/>
      <c r="N19" s="266"/>
      <c r="O19" s="216">
        <f t="shared" si="4"/>
        <v>0</v>
      </c>
      <c r="P19" s="216"/>
      <c r="Q19" s="293"/>
      <c r="R19" s="255"/>
      <c r="S19" s="379"/>
      <c r="T19" s="253"/>
      <c r="U19" s="253"/>
      <c r="V19" s="253"/>
      <c r="W19" s="253"/>
      <c r="X19" s="253"/>
      <c r="Y19" s="216">
        <f t="shared" si="5"/>
        <v>0</v>
      </c>
      <c r="Z19" s="216"/>
    </row>
    <row r="20" spans="1:26" ht="15" thickBot="1" x14ac:dyDescent="0.35">
      <c r="G20" s="255"/>
      <c r="H20" s="228">
        <f t="shared" si="3"/>
        <v>2</v>
      </c>
      <c r="I20" s="392" t="s">
        <v>54</v>
      </c>
      <c r="J20" s="266"/>
      <c r="K20" s="266"/>
      <c r="L20" s="266">
        <v>2</v>
      </c>
      <c r="M20" s="266">
        <v>1</v>
      </c>
      <c r="N20" s="266"/>
      <c r="O20" s="216">
        <f t="shared" si="4"/>
        <v>0</v>
      </c>
      <c r="P20" s="216"/>
      <c r="Q20" s="293"/>
      <c r="R20" s="43" t="s">
        <v>85</v>
      </c>
      <c r="S20" s="380" t="s">
        <v>168</v>
      </c>
      <c r="T20" s="316">
        <v>1</v>
      </c>
      <c r="U20" s="317"/>
      <c r="V20" s="317"/>
      <c r="W20" s="317"/>
      <c r="X20" s="335"/>
      <c r="Y20" s="216">
        <f t="shared" si="5"/>
        <v>0.5</v>
      </c>
      <c r="Z20" s="216"/>
    </row>
    <row r="21" spans="1:26" x14ac:dyDescent="0.3">
      <c r="A21" s="220" t="s">
        <v>243</v>
      </c>
      <c r="B21" s="274"/>
      <c r="C21" s="274"/>
      <c r="D21" s="272"/>
      <c r="G21" s="255"/>
      <c r="H21" s="228">
        <f t="shared" si="3"/>
        <v>1</v>
      </c>
      <c r="I21" s="389"/>
      <c r="J21" s="266"/>
      <c r="K21" s="266"/>
      <c r="L21" s="266"/>
      <c r="M21" s="266"/>
      <c r="N21" s="266"/>
      <c r="O21" s="216">
        <f t="shared" si="4"/>
        <v>0</v>
      </c>
      <c r="P21" s="216"/>
      <c r="Q21" s="293"/>
      <c r="R21" s="43"/>
      <c r="S21" s="381" t="s">
        <v>43</v>
      </c>
      <c r="T21" s="305"/>
      <c r="U21" s="49">
        <v>1</v>
      </c>
      <c r="V21" s="49"/>
      <c r="W21" s="49"/>
      <c r="X21" s="336"/>
      <c r="Y21" s="216">
        <f t="shared" si="5"/>
        <v>0.5</v>
      </c>
      <c r="Z21" s="216"/>
    </row>
    <row r="22" spans="1:26" x14ac:dyDescent="0.3">
      <c r="A22" s="221"/>
      <c r="B22" s="157" t="s">
        <v>232</v>
      </c>
      <c r="C22" s="157"/>
      <c r="D22" s="158"/>
      <c r="G22" s="255"/>
      <c r="H22" s="228">
        <f t="shared" si="3"/>
        <v>0</v>
      </c>
      <c r="I22" s="392"/>
      <c r="J22" s="266"/>
      <c r="K22" s="266"/>
      <c r="L22" s="266"/>
      <c r="M22" s="266"/>
      <c r="N22" s="266"/>
      <c r="O22" s="216">
        <f t="shared" si="4"/>
        <v>0</v>
      </c>
      <c r="P22" s="216"/>
      <c r="Q22" s="293"/>
      <c r="R22" s="43"/>
      <c r="S22" s="381" t="s">
        <v>538</v>
      </c>
      <c r="T22" s="305">
        <v>2</v>
      </c>
      <c r="U22" s="49"/>
      <c r="V22" s="49"/>
      <c r="W22" s="49"/>
      <c r="X22" s="336"/>
      <c r="Y22" s="216">
        <f t="shared" si="5"/>
        <v>1</v>
      </c>
      <c r="Z22" s="216"/>
    </row>
    <row r="23" spans="1:26" x14ac:dyDescent="0.3">
      <c r="A23" s="29"/>
      <c r="B23" s="159"/>
      <c r="C23" s="24" t="s">
        <v>20</v>
      </c>
      <c r="D23" s="25">
        <f>B23*0.5</f>
        <v>0</v>
      </c>
      <c r="G23" s="255"/>
      <c r="H23" s="228">
        <f t="shared" si="3"/>
        <v>1</v>
      </c>
      <c r="I23" s="392"/>
      <c r="J23" s="266"/>
      <c r="K23" s="266"/>
      <c r="L23" s="266"/>
      <c r="M23" s="266"/>
      <c r="N23" s="266"/>
      <c r="O23" s="216">
        <f t="shared" si="4"/>
        <v>0</v>
      </c>
      <c r="P23" s="216"/>
      <c r="Q23" s="293"/>
      <c r="R23" s="347"/>
      <c r="S23" s="382" t="s">
        <v>93</v>
      </c>
      <c r="T23" s="344"/>
      <c r="U23" s="325">
        <v>1</v>
      </c>
      <c r="V23" s="325"/>
      <c r="W23" s="325"/>
      <c r="X23" s="337"/>
      <c r="Y23" s="216">
        <f t="shared" si="5"/>
        <v>0.5</v>
      </c>
      <c r="Z23" s="216"/>
    </row>
    <row r="24" spans="1:26" x14ac:dyDescent="0.3">
      <c r="A24" s="29"/>
      <c r="B24" s="159"/>
      <c r="C24" s="24" t="s">
        <v>21</v>
      </c>
      <c r="D24" s="25">
        <f>B24</f>
        <v>0</v>
      </c>
      <c r="G24" s="255"/>
      <c r="H24" s="228">
        <f t="shared" si="3"/>
        <v>0</v>
      </c>
      <c r="I24" s="392"/>
      <c r="J24" s="266"/>
      <c r="K24" s="266"/>
      <c r="L24" s="266"/>
      <c r="M24" s="266"/>
      <c r="N24" s="266"/>
      <c r="O24" s="216">
        <f t="shared" si="4"/>
        <v>0</v>
      </c>
      <c r="P24" s="216"/>
      <c r="Q24" s="293"/>
      <c r="R24" s="265"/>
      <c r="S24" s="378"/>
      <c r="T24" s="259"/>
      <c r="U24" s="259"/>
      <c r="V24" s="259"/>
      <c r="W24" s="259"/>
      <c r="X24" s="253"/>
      <c r="Y24" s="216">
        <f t="shared" si="5"/>
        <v>0</v>
      </c>
      <c r="Z24" s="216"/>
    </row>
    <row r="25" spans="1:26" x14ac:dyDescent="0.3">
      <c r="A25" s="29"/>
      <c r="B25" s="159">
        <v>1</v>
      </c>
      <c r="C25" s="24" t="s">
        <v>22</v>
      </c>
      <c r="D25" s="25">
        <f>B25</f>
        <v>1</v>
      </c>
      <c r="G25" s="255"/>
      <c r="H25" s="228">
        <f t="shared" si="3"/>
        <v>2</v>
      </c>
      <c r="I25" s="392"/>
      <c r="J25" s="266"/>
      <c r="K25" s="266"/>
      <c r="L25" s="266"/>
      <c r="M25" s="266"/>
      <c r="N25" s="266"/>
      <c r="O25" s="216">
        <f t="shared" si="4"/>
        <v>0</v>
      </c>
      <c r="P25" s="216"/>
      <c r="Q25" s="293"/>
      <c r="R25" s="345" t="s">
        <v>281</v>
      </c>
      <c r="S25" s="383" t="s">
        <v>94</v>
      </c>
      <c r="T25" s="341"/>
      <c r="U25" s="341">
        <v>2</v>
      </c>
      <c r="V25" s="341"/>
      <c r="W25" s="341"/>
      <c r="X25" s="341"/>
      <c r="Y25" s="216">
        <f t="shared" si="5"/>
        <v>1</v>
      </c>
      <c r="Z25" s="216"/>
    </row>
    <row r="26" spans="1:26" x14ac:dyDescent="0.3">
      <c r="A26" s="29"/>
      <c r="B26" s="159">
        <v>1</v>
      </c>
      <c r="C26" s="24" t="s">
        <v>23</v>
      </c>
      <c r="D26" s="25">
        <f>B26</f>
        <v>1</v>
      </c>
      <c r="G26" s="255"/>
      <c r="H26" s="228">
        <f t="shared" si="3"/>
        <v>1</v>
      </c>
      <c r="I26" s="392"/>
      <c r="J26" s="266"/>
      <c r="K26" s="266"/>
      <c r="L26" s="266"/>
      <c r="M26" s="266"/>
      <c r="N26" s="266"/>
      <c r="O26" s="216">
        <f t="shared" si="4"/>
        <v>0</v>
      </c>
      <c r="P26" s="216"/>
      <c r="Q26" s="293"/>
      <c r="R26" s="346" t="s">
        <v>282</v>
      </c>
      <c r="S26" s="384" t="s">
        <v>283</v>
      </c>
      <c r="T26" s="84"/>
      <c r="U26" s="84">
        <v>1</v>
      </c>
      <c r="V26" s="84"/>
      <c r="W26" s="84">
        <v>1</v>
      </c>
      <c r="X26" s="84"/>
      <c r="Y26" s="216">
        <f t="shared" si="5"/>
        <v>0.5</v>
      </c>
      <c r="Z26" s="216"/>
    </row>
    <row r="27" spans="1:26" ht="15" thickBot="1" x14ac:dyDescent="0.35">
      <c r="A27" s="30"/>
      <c r="B27" s="160"/>
      <c r="C27" s="161" t="s">
        <v>25</v>
      </c>
      <c r="D27" s="162">
        <f>SUM(D23:D26)</f>
        <v>2</v>
      </c>
      <c r="G27" s="255"/>
      <c r="H27" s="228">
        <f t="shared" si="3"/>
        <v>0</v>
      </c>
      <c r="I27" s="392"/>
      <c r="J27" s="266"/>
      <c r="K27" s="266"/>
      <c r="L27" s="266"/>
      <c r="M27" s="266"/>
      <c r="N27" s="266"/>
      <c r="O27" s="216">
        <f t="shared" si="4"/>
        <v>0</v>
      </c>
      <c r="P27" s="216"/>
      <c r="Q27" s="293"/>
      <c r="R27" s="375" t="s">
        <v>284</v>
      </c>
      <c r="S27" s="385"/>
      <c r="T27" s="151"/>
      <c r="U27" s="151"/>
      <c r="V27" s="151"/>
      <c r="W27" s="151"/>
      <c r="X27" s="151"/>
      <c r="Y27" s="232">
        <f t="shared" si="5"/>
        <v>0</v>
      </c>
      <c r="Z27" s="232"/>
    </row>
    <row r="28" spans="1:26" ht="15" thickBot="1" x14ac:dyDescent="0.35">
      <c r="G28" s="250" t="s">
        <v>248</v>
      </c>
      <c r="H28" s="184" t="s">
        <v>69</v>
      </c>
      <c r="I28" s="393" t="s">
        <v>237</v>
      </c>
      <c r="J28" s="186" t="s">
        <v>228</v>
      </c>
      <c r="K28" s="187" t="s">
        <v>204</v>
      </c>
      <c r="L28" s="187" t="s">
        <v>100</v>
      </c>
      <c r="M28" s="187" t="s">
        <v>205</v>
      </c>
      <c r="N28" s="187" t="s">
        <v>206</v>
      </c>
      <c r="O28" s="188" t="s">
        <v>27</v>
      </c>
      <c r="P28" s="188" t="s">
        <v>236</v>
      </c>
      <c r="Q28" s="189"/>
      <c r="R28" s="291" t="s">
        <v>41</v>
      </c>
      <c r="S28" s="386" t="s">
        <v>237</v>
      </c>
      <c r="T28" s="292" t="s">
        <v>228</v>
      </c>
      <c r="U28" s="143" t="s">
        <v>204</v>
      </c>
      <c r="V28" s="143" t="s">
        <v>100</v>
      </c>
      <c r="W28" s="143" t="s">
        <v>205</v>
      </c>
      <c r="X28" s="143" t="s">
        <v>206</v>
      </c>
      <c r="Y28" s="188" t="s">
        <v>27</v>
      </c>
      <c r="Z28" s="188" t="s">
        <v>236</v>
      </c>
    </row>
    <row r="29" spans="1:26" x14ac:dyDescent="0.3">
      <c r="A29" s="220" t="s">
        <v>244</v>
      </c>
      <c r="B29" s="274"/>
      <c r="C29" s="274"/>
      <c r="D29" s="272"/>
      <c r="G29" s="270" t="s">
        <v>352</v>
      </c>
      <c r="H29" s="231">
        <f t="shared" ref="H29:H34" si="6">MAX(K29:N29)+MAX(U29:X29)</f>
        <v>3</v>
      </c>
      <c r="I29" s="389" t="s">
        <v>189</v>
      </c>
      <c r="L29" s="241">
        <v>1</v>
      </c>
      <c r="M29" s="241">
        <v>1</v>
      </c>
      <c r="O29" s="211">
        <f t="shared" ref="O29:O34" si="7">(J29+K29)*$Y$3</f>
        <v>0</v>
      </c>
      <c r="P29" s="211"/>
      <c r="Q29" s="293"/>
      <c r="R29" s="290" t="s">
        <v>281</v>
      </c>
      <c r="S29" s="387" t="s">
        <v>216</v>
      </c>
      <c r="T29" s="294"/>
      <c r="U29" s="294">
        <v>2</v>
      </c>
      <c r="V29" s="294">
        <v>1</v>
      </c>
      <c r="W29" s="294">
        <v>1</v>
      </c>
      <c r="X29" s="295"/>
      <c r="Y29" s="288">
        <f t="shared" ref="Y29:Y34" si="8">(T29+U29)*$Y$3</f>
        <v>1</v>
      </c>
      <c r="Z29" s="211"/>
    </row>
    <row r="30" spans="1:26" ht="15" thickBot="1" x14ac:dyDescent="0.35">
      <c r="A30" s="221"/>
      <c r="B30" s="253"/>
      <c r="C30" s="253" t="s">
        <v>26</v>
      </c>
      <c r="D30" s="254">
        <f>P2</f>
        <v>0</v>
      </c>
      <c r="G30" s="273" t="s">
        <v>173</v>
      </c>
      <c r="H30" s="225">
        <f t="shared" si="6"/>
        <v>1</v>
      </c>
      <c r="I30" s="394" t="s">
        <v>288</v>
      </c>
      <c r="J30" s="269"/>
      <c r="K30" s="269"/>
      <c r="L30" s="269"/>
      <c r="M30" s="269"/>
      <c r="N30" s="269"/>
      <c r="O30" s="232">
        <f t="shared" si="7"/>
        <v>0</v>
      </c>
      <c r="P30" s="232"/>
      <c r="Q30" s="296"/>
      <c r="R30" s="297" t="s">
        <v>284</v>
      </c>
      <c r="S30" s="388" t="s">
        <v>198</v>
      </c>
      <c r="T30" s="298"/>
      <c r="U30" s="298">
        <v>1</v>
      </c>
      <c r="V30" s="298"/>
      <c r="W30" s="298"/>
      <c r="X30" s="299"/>
      <c r="Y30" s="289">
        <f t="shared" si="8"/>
        <v>0.5</v>
      </c>
      <c r="Z30" s="232"/>
    </row>
    <row r="31" spans="1:26" x14ac:dyDescent="0.3">
      <c r="A31" s="29"/>
      <c r="B31" s="157" t="s">
        <v>232</v>
      </c>
      <c r="C31" s="157"/>
      <c r="D31" s="376"/>
      <c r="G31" s="270" t="s">
        <v>345</v>
      </c>
      <c r="H31" s="231">
        <f t="shared" si="6"/>
        <v>1</v>
      </c>
      <c r="I31" s="395"/>
      <c r="J31" s="271"/>
      <c r="K31" s="271"/>
      <c r="L31" s="271"/>
      <c r="M31" s="271"/>
      <c r="N31" s="271"/>
      <c r="O31" s="233">
        <f t="shared" si="7"/>
        <v>0</v>
      </c>
      <c r="P31" s="233"/>
      <c r="Q31" s="200"/>
      <c r="R31" s="290" t="s">
        <v>281</v>
      </c>
      <c r="S31" s="387" t="s">
        <v>86</v>
      </c>
      <c r="T31" s="294"/>
      <c r="U31" s="294">
        <v>1</v>
      </c>
      <c r="V31" s="294">
        <v>1</v>
      </c>
      <c r="W31" s="294">
        <v>1</v>
      </c>
      <c r="X31" s="295"/>
      <c r="Y31" s="233">
        <f t="shared" si="8"/>
        <v>0.5</v>
      </c>
      <c r="Z31" s="233"/>
    </row>
    <row r="32" spans="1:26" ht="15" thickBot="1" x14ac:dyDescent="0.35">
      <c r="A32" s="29"/>
      <c r="B32" s="159"/>
      <c r="C32" s="24" t="s">
        <v>16</v>
      </c>
      <c r="D32" s="368">
        <f>INT(B32/4)</f>
        <v>0</v>
      </c>
      <c r="G32" s="275" t="s">
        <v>173</v>
      </c>
      <c r="H32" s="225">
        <f t="shared" si="6"/>
        <v>1</v>
      </c>
      <c r="I32" s="390"/>
      <c r="J32" s="261"/>
      <c r="K32" s="261"/>
      <c r="L32" s="261"/>
      <c r="M32" s="261"/>
      <c r="N32" s="261"/>
      <c r="O32" s="232">
        <f t="shared" si="7"/>
        <v>0</v>
      </c>
      <c r="P32" s="232"/>
      <c r="Q32" s="226"/>
      <c r="R32" s="297" t="s">
        <v>284</v>
      </c>
      <c r="S32" s="388" t="s">
        <v>207</v>
      </c>
      <c r="T32" s="298"/>
      <c r="U32" s="298">
        <v>1</v>
      </c>
      <c r="V32" s="298"/>
      <c r="W32" s="298"/>
      <c r="X32" s="299"/>
      <c r="Y32" s="232">
        <f t="shared" si="8"/>
        <v>0.5</v>
      </c>
      <c r="Z32" s="232"/>
    </row>
    <row r="33" spans="1:26" x14ac:dyDescent="0.3">
      <c r="A33" s="29"/>
      <c r="B33" s="159"/>
      <c r="C33" s="24" t="s">
        <v>17</v>
      </c>
      <c r="D33" s="368">
        <f>INT(B33/3)</f>
        <v>0</v>
      </c>
      <c r="G33" s="270" t="s">
        <v>251</v>
      </c>
      <c r="H33" s="231">
        <f t="shared" si="6"/>
        <v>0</v>
      </c>
      <c r="I33" s="395"/>
      <c r="J33" s="271"/>
      <c r="K33" s="271"/>
      <c r="L33" s="271"/>
      <c r="M33" s="271"/>
      <c r="N33" s="271"/>
      <c r="O33" s="233">
        <f t="shared" si="7"/>
        <v>0</v>
      </c>
      <c r="P33" s="233"/>
      <c r="Q33" s="200"/>
      <c r="R33" s="29"/>
      <c r="S33" s="389"/>
      <c r="Y33" s="233">
        <f t="shared" si="8"/>
        <v>0</v>
      </c>
      <c r="Z33" s="233"/>
    </row>
    <row r="34" spans="1:26" ht="15" thickBot="1" x14ac:dyDescent="0.35">
      <c r="A34" s="29"/>
      <c r="B34" s="159"/>
      <c r="C34" s="24" t="s">
        <v>18</v>
      </c>
      <c r="D34" s="368">
        <f>B34</f>
        <v>0</v>
      </c>
      <c r="G34" s="275" t="s">
        <v>173</v>
      </c>
      <c r="H34" s="225">
        <f t="shared" si="6"/>
        <v>0</v>
      </c>
      <c r="I34" s="390"/>
      <c r="J34" s="261"/>
      <c r="K34" s="261"/>
      <c r="L34" s="261"/>
      <c r="M34" s="261"/>
      <c r="N34" s="261"/>
      <c r="O34" s="232">
        <f t="shared" si="7"/>
        <v>0</v>
      </c>
      <c r="P34" s="232"/>
      <c r="Q34" s="226"/>
      <c r="R34" s="30"/>
      <c r="S34" s="390"/>
      <c r="T34" s="261"/>
      <c r="U34" s="261"/>
      <c r="V34" s="261"/>
      <c r="W34" s="261"/>
      <c r="X34" s="261"/>
      <c r="Y34" s="232">
        <f t="shared" si="8"/>
        <v>0</v>
      </c>
      <c r="Z34" s="232"/>
    </row>
    <row r="35" spans="1:26" x14ac:dyDescent="0.3">
      <c r="A35" s="29"/>
      <c r="B35" s="253"/>
      <c r="C35" s="253" t="s">
        <v>12</v>
      </c>
      <c r="D35" s="136">
        <f>INT((D14-10)/5)</f>
        <v>2</v>
      </c>
      <c r="H35" s="241"/>
    </row>
    <row r="36" spans="1:26" ht="15" thickBot="1" x14ac:dyDescent="0.35">
      <c r="A36" s="29"/>
      <c r="B36" s="253"/>
      <c r="C36" s="263" t="s">
        <v>7</v>
      </c>
      <c r="D36" s="229">
        <f>D27-(D30+D35)</f>
        <v>0</v>
      </c>
      <c r="H36" s="241"/>
    </row>
    <row r="37" spans="1:26" ht="15.6" thickTop="1" thickBot="1" x14ac:dyDescent="0.35">
      <c r="A37" s="30"/>
      <c r="B37" s="261"/>
      <c r="C37" s="261" t="s">
        <v>34</v>
      </c>
      <c r="D37" s="262">
        <f>IF(D36&lt;=0,0,D35)</f>
        <v>0</v>
      </c>
      <c r="H37" s="241"/>
    </row>
    <row r="38" spans="1:26" x14ac:dyDescent="0.3">
      <c r="H38" s="241"/>
    </row>
    <row r="39" spans="1:26" x14ac:dyDescent="0.3">
      <c r="H39" s="241"/>
    </row>
    <row r="40" spans="1:26" ht="15" thickBot="1" x14ac:dyDescent="0.35">
      <c r="C40" s="267" t="s">
        <v>27</v>
      </c>
      <c r="D40" s="267">
        <f>D19-D37</f>
        <v>3.6</v>
      </c>
      <c r="H40" s="241"/>
    </row>
    <row r="41" spans="1:26" ht="15" thickTop="1" x14ac:dyDescent="0.3">
      <c r="H41" s="241"/>
    </row>
  </sheetData>
  <mergeCells count="1">
    <mergeCell ref="T4:U4"/>
  </mergeCells>
  <conditionalFormatting sqref="D2">
    <cfRule type="cellIs" dxfId="20" priority="1" operator="lessThan">
      <formula>0</formula>
    </cfRule>
    <cfRule type="cellIs" dxfId="19" priority="2" operator="equal">
      <formula>0</formula>
    </cfRule>
    <cfRule type="cellIs" dxfId="18" priority="3" operator="greaterThan">
      <formula>0</formula>
    </cfRule>
  </conditionalFormatting>
  <conditionalFormatting sqref="D40">
    <cfRule type="cellIs" dxfId="17" priority="4" operator="equal">
      <formula>0</formula>
    </cfRule>
    <cfRule type="cellIs" dxfId="16" priority="5" operator="lessThan">
      <formula>0</formula>
    </cfRule>
    <cfRule type="cellIs" dxfId="15" priority="6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F23F5-E4FF-47C0-8C61-1D27913C96D1}">
  <sheetPr>
    <tabColor theme="8" tint="0.79998168889431442"/>
  </sheetPr>
  <dimension ref="A1:Z89"/>
  <sheetViews>
    <sheetView topLeftCell="A54" zoomScale="81" zoomScaleNormal="81" workbookViewId="0">
      <selection activeCell="AC13" sqref="AC13"/>
    </sheetView>
  </sheetViews>
  <sheetFormatPr defaultColWidth="9.109375" defaultRowHeight="14.4" x14ac:dyDescent="0.3"/>
  <cols>
    <col min="1" max="1" width="9.109375" style="241"/>
    <col min="2" max="2" width="10.6640625" style="241" customWidth="1"/>
    <col min="3" max="3" width="20" style="241" customWidth="1"/>
    <col min="4" max="4" width="9.109375" style="241"/>
    <col min="5" max="6" width="4.109375" style="241" customWidth="1"/>
    <col min="7" max="7" width="19" style="241" customWidth="1"/>
    <col min="8" max="8" width="5.5546875" style="52" customWidth="1"/>
    <col min="9" max="9" width="27.5546875" style="241" customWidth="1"/>
    <col min="10" max="10" width="5.88671875" style="241" customWidth="1"/>
    <col min="11" max="11" width="6.44140625" style="241" customWidth="1"/>
    <col min="12" max="12" width="6.5546875" style="241" customWidth="1"/>
    <col min="13" max="13" width="6.44140625" style="241" customWidth="1"/>
    <col min="14" max="14" width="6.109375" style="241" customWidth="1"/>
    <col min="15" max="15" width="9.109375" style="241"/>
    <col min="16" max="16" width="6.33203125" style="241" customWidth="1"/>
    <col min="17" max="17" width="3.44140625" style="241" customWidth="1"/>
    <col min="18" max="18" width="20.44140625" style="241" customWidth="1"/>
    <col min="19" max="19" width="26.44140625" style="241" customWidth="1"/>
    <col min="20" max="24" width="6" style="241" customWidth="1"/>
    <col min="25" max="25" width="9.109375" style="241"/>
    <col min="26" max="26" width="6.5546875" style="241" customWidth="1"/>
    <col min="27" max="16384" width="9.109375" style="241"/>
  </cols>
  <sheetData>
    <row r="1" spans="1:26" ht="15" thickBot="1" x14ac:dyDescent="0.35"/>
    <row r="2" spans="1:26" x14ac:dyDescent="0.3">
      <c r="C2" s="242" t="s">
        <v>28</v>
      </c>
      <c r="D2" s="242">
        <f>D45+D3+D4</f>
        <v>8.2000000000000011</v>
      </c>
      <c r="I2" s="243" t="s">
        <v>33</v>
      </c>
      <c r="J2" s="244">
        <f t="shared" ref="J2:P2" si="0">J6+T6</f>
        <v>22</v>
      </c>
      <c r="K2" s="244">
        <f t="shared" si="0"/>
        <v>24</v>
      </c>
      <c r="L2" s="244">
        <f t="shared" si="0"/>
        <v>21</v>
      </c>
      <c r="M2" s="244">
        <f t="shared" si="0"/>
        <v>23</v>
      </c>
      <c r="N2" s="244">
        <f t="shared" si="0"/>
        <v>4</v>
      </c>
      <c r="O2" s="244">
        <f t="shared" si="0"/>
        <v>23</v>
      </c>
      <c r="P2" s="244">
        <f t="shared" si="0"/>
        <v>0</v>
      </c>
      <c r="W2" s="168" t="s">
        <v>229</v>
      </c>
      <c r="X2" s="169"/>
      <c r="Y2" s="170">
        <v>0.2</v>
      </c>
      <c r="Z2" s="171"/>
    </row>
    <row r="3" spans="1:26" ht="15" thickBot="1" x14ac:dyDescent="0.35">
      <c r="C3" s="245" t="s">
        <v>154</v>
      </c>
      <c r="D3" s="245"/>
      <c r="W3" s="172" t="s">
        <v>227</v>
      </c>
      <c r="X3" s="173"/>
      <c r="Y3" s="174">
        <v>0.5</v>
      </c>
    </row>
    <row r="4" spans="1:26" ht="15" thickBot="1" x14ac:dyDescent="0.35">
      <c r="C4" s="245" t="s">
        <v>155</v>
      </c>
      <c r="D4" s="245">
        <v>0</v>
      </c>
      <c r="I4" s="246" t="s">
        <v>15</v>
      </c>
      <c r="J4" s="246"/>
      <c r="K4" s="246"/>
      <c r="Q4" s="99"/>
      <c r="R4" s="247" t="s">
        <v>11</v>
      </c>
      <c r="S4" s="247"/>
      <c r="T4" s="587" t="s">
        <v>10</v>
      </c>
      <c r="U4" s="587"/>
    </row>
    <row r="5" spans="1:26" ht="15.6" thickTop="1" thickBot="1" x14ac:dyDescent="0.35">
      <c r="G5" s="175" t="s">
        <v>235</v>
      </c>
      <c r="H5" s="176">
        <f>SUM(H8:H81)</f>
        <v>45</v>
      </c>
      <c r="I5" s="246" t="s">
        <v>8</v>
      </c>
      <c r="J5" s="177" t="s">
        <v>228</v>
      </c>
      <c r="K5" s="248" t="s">
        <v>204</v>
      </c>
      <c r="L5" s="248" t="s">
        <v>100</v>
      </c>
      <c r="M5" s="248" t="s">
        <v>205</v>
      </c>
      <c r="N5" s="248" t="s">
        <v>206</v>
      </c>
      <c r="O5" s="248" t="s">
        <v>27</v>
      </c>
      <c r="P5" s="248" t="s">
        <v>236</v>
      </c>
      <c r="Q5" s="99"/>
      <c r="R5" s="247" t="s">
        <v>8</v>
      </c>
      <c r="S5" s="247"/>
      <c r="T5" s="178" t="s">
        <v>228</v>
      </c>
      <c r="U5" s="249" t="s">
        <v>204</v>
      </c>
      <c r="V5" s="249" t="s">
        <v>100</v>
      </c>
      <c r="W5" s="249" t="s">
        <v>205</v>
      </c>
      <c r="X5" s="249" t="s">
        <v>206</v>
      </c>
      <c r="Y5" s="249" t="s">
        <v>27</v>
      </c>
      <c r="Z5" s="248" t="s">
        <v>236</v>
      </c>
    </row>
    <row r="6" spans="1:26" ht="15" thickBot="1" x14ac:dyDescent="0.35">
      <c r="A6" s="179"/>
      <c r="B6" s="402" t="s">
        <v>0</v>
      </c>
      <c r="C6" s="402" t="s">
        <v>4</v>
      </c>
      <c r="D6" s="272" t="s">
        <v>5</v>
      </c>
      <c r="G6" s="180" t="s">
        <v>213</v>
      </c>
      <c r="H6" s="181">
        <f>H5*50</f>
        <v>2250</v>
      </c>
      <c r="J6" s="244">
        <f t="shared" ref="J6:P6" si="1">SUM(J10:J160)</f>
        <v>0</v>
      </c>
      <c r="K6" s="244">
        <f t="shared" si="1"/>
        <v>0</v>
      </c>
      <c r="L6" s="244">
        <f t="shared" si="1"/>
        <v>10</v>
      </c>
      <c r="M6" s="244">
        <f t="shared" si="1"/>
        <v>13</v>
      </c>
      <c r="N6" s="244">
        <f t="shared" si="1"/>
        <v>4</v>
      </c>
      <c r="O6" s="244">
        <f t="shared" si="1"/>
        <v>0</v>
      </c>
      <c r="P6" s="244">
        <f t="shared" si="1"/>
        <v>0</v>
      </c>
      <c r="Q6" s="99"/>
      <c r="T6" s="244">
        <f t="shared" ref="T6:Z6" si="2">SUM(T14:T160)</f>
        <v>22</v>
      </c>
      <c r="U6" s="244">
        <f t="shared" si="2"/>
        <v>24</v>
      </c>
      <c r="V6" s="244">
        <f t="shared" si="2"/>
        <v>11</v>
      </c>
      <c r="W6" s="244">
        <f t="shared" si="2"/>
        <v>10</v>
      </c>
      <c r="X6" s="244">
        <f t="shared" si="2"/>
        <v>0</v>
      </c>
      <c r="Y6" s="244">
        <f t="shared" si="2"/>
        <v>23</v>
      </c>
      <c r="Z6" s="244">
        <f t="shared" si="2"/>
        <v>0</v>
      </c>
    </row>
    <row r="7" spans="1:26" ht="15.6" thickTop="1" thickBot="1" x14ac:dyDescent="0.35">
      <c r="A7" s="182"/>
      <c r="B7" s="241" t="s">
        <v>268</v>
      </c>
      <c r="C7" s="241" t="s">
        <v>297</v>
      </c>
      <c r="D7" s="254">
        <v>13</v>
      </c>
      <c r="Q7" s="99"/>
    </row>
    <row r="8" spans="1:26" ht="15" thickBot="1" x14ac:dyDescent="0.35">
      <c r="A8" s="29"/>
      <c r="B8" s="241" t="s">
        <v>351</v>
      </c>
      <c r="C8" s="241" t="s">
        <v>296</v>
      </c>
      <c r="D8" s="254">
        <v>10</v>
      </c>
      <c r="G8" s="183" t="s">
        <v>358</v>
      </c>
      <c r="H8" s="184" t="s">
        <v>69</v>
      </c>
      <c r="I8" s="185" t="s">
        <v>237</v>
      </c>
      <c r="J8" s="186" t="s">
        <v>228</v>
      </c>
      <c r="K8" s="187" t="s">
        <v>204</v>
      </c>
      <c r="L8" s="187" t="s">
        <v>100</v>
      </c>
      <c r="M8" s="187" t="s">
        <v>205</v>
      </c>
      <c r="N8" s="187" t="s">
        <v>206</v>
      </c>
      <c r="O8" s="188" t="s">
        <v>27</v>
      </c>
      <c r="P8" s="188" t="s">
        <v>236</v>
      </c>
      <c r="Q8" s="189"/>
      <c r="R8" s="185" t="s">
        <v>41</v>
      </c>
      <c r="S8" s="185" t="s">
        <v>237</v>
      </c>
      <c r="T8" s="186" t="s">
        <v>228</v>
      </c>
      <c r="U8" s="187" t="s">
        <v>204</v>
      </c>
      <c r="V8" s="187" t="s">
        <v>100</v>
      </c>
      <c r="W8" s="187" t="s">
        <v>205</v>
      </c>
      <c r="X8" s="187" t="s">
        <v>206</v>
      </c>
      <c r="Y8" s="188" t="s">
        <v>27</v>
      </c>
      <c r="Z8" s="188" t="s">
        <v>236</v>
      </c>
    </row>
    <row r="9" spans="1:26" ht="15" thickBot="1" x14ac:dyDescent="0.35">
      <c r="A9" s="29"/>
      <c r="B9" s="241" t="s">
        <v>30</v>
      </c>
      <c r="C9" s="241" t="s">
        <v>464</v>
      </c>
      <c r="D9" s="254">
        <v>9</v>
      </c>
      <c r="G9" s="264" t="s">
        <v>238</v>
      </c>
      <c r="H9" s="190" t="s">
        <v>239</v>
      </c>
      <c r="I9" s="461" t="s">
        <v>410</v>
      </c>
      <c r="J9" s="192"/>
      <c r="K9" s="192"/>
      <c r="L9" s="192"/>
      <c r="M9" s="192"/>
      <c r="N9" s="193"/>
      <c r="O9" s="194"/>
      <c r="P9" s="194"/>
      <c r="Q9" s="195"/>
      <c r="R9" s="191"/>
      <c r="S9" s="461" t="s">
        <v>410</v>
      </c>
      <c r="T9" s="192"/>
      <c r="U9" s="192"/>
      <c r="V9" s="192"/>
      <c r="W9" s="192"/>
      <c r="X9" s="193"/>
      <c r="Y9" s="194"/>
      <c r="Z9" s="194"/>
    </row>
    <row r="10" spans="1:26" x14ac:dyDescent="0.3">
      <c r="A10" s="29"/>
      <c r="B10" s="241" t="s">
        <v>2</v>
      </c>
      <c r="D10" s="254">
        <v>0</v>
      </c>
      <c r="G10" s="255" t="s">
        <v>240</v>
      </c>
      <c r="H10" s="196" t="s">
        <v>239</v>
      </c>
      <c r="I10" s="197"/>
      <c r="J10" s="26"/>
      <c r="K10" s="26"/>
      <c r="L10" s="26"/>
      <c r="M10" s="26"/>
      <c r="N10" s="39"/>
      <c r="O10" s="198"/>
      <c r="P10" s="198"/>
      <c r="Q10" s="195"/>
      <c r="R10" s="197"/>
      <c r="S10" s="197"/>
      <c r="T10" s="26"/>
      <c r="U10" s="26"/>
      <c r="V10" s="26"/>
      <c r="W10" s="26"/>
      <c r="X10" s="39"/>
      <c r="Y10" s="198"/>
      <c r="Z10" s="198"/>
    </row>
    <row r="11" spans="1:26" x14ac:dyDescent="0.3">
      <c r="A11" s="29"/>
      <c r="B11" s="241" t="s">
        <v>83</v>
      </c>
      <c r="D11" s="254">
        <v>0</v>
      </c>
      <c r="G11" s="255"/>
      <c r="H11" s="196" t="s">
        <v>239</v>
      </c>
      <c r="I11" s="197"/>
      <c r="J11" s="26"/>
      <c r="K11" s="26"/>
      <c r="L11" s="26"/>
      <c r="M11" s="26"/>
      <c r="N11" s="39"/>
      <c r="O11" s="198"/>
      <c r="P11" s="198"/>
      <c r="Q11" s="195"/>
      <c r="R11" s="197"/>
      <c r="S11" s="197"/>
      <c r="T11" s="26"/>
      <c r="U11" s="26"/>
      <c r="V11" s="26"/>
      <c r="W11" s="26"/>
      <c r="X11" s="39"/>
      <c r="Y11" s="198"/>
      <c r="Z11" s="198"/>
    </row>
    <row r="12" spans="1:26" ht="15" thickBot="1" x14ac:dyDescent="0.35">
      <c r="A12" s="29"/>
      <c r="C12" s="256"/>
      <c r="D12" s="254"/>
      <c r="G12" s="255"/>
      <c r="H12" s="196" t="s">
        <v>239</v>
      </c>
      <c r="I12" s="197"/>
      <c r="J12" s="26"/>
      <c r="K12" s="26"/>
      <c r="L12" s="26"/>
      <c r="M12" s="26"/>
      <c r="N12" s="39"/>
      <c r="O12" s="198"/>
      <c r="P12" s="198"/>
      <c r="Q12" s="195"/>
      <c r="R12" s="197"/>
      <c r="S12" s="197"/>
      <c r="T12" s="26"/>
      <c r="U12" s="26"/>
      <c r="V12" s="26"/>
      <c r="W12" s="26"/>
      <c r="X12" s="39"/>
      <c r="Y12" s="198"/>
      <c r="Z12" s="198"/>
    </row>
    <row r="13" spans="1:26" ht="15" thickBot="1" x14ac:dyDescent="0.35">
      <c r="A13" s="29"/>
      <c r="B13" s="256" t="s">
        <v>152</v>
      </c>
      <c r="D13" s="254"/>
      <c r="G13" s="250" t="s">
        <v>461</v>
      </c>
      <c r="H13" s="184" t="s">
        <v>69</v>
      </c>
      <c r="I13" s="185" t="s">
        <v>237</v>
      </c>
      <c r="J13" s="186" t="s">
        <v>228</v>
      </c>
      <c r="K13" s="187" t="s">
        <v>204</v>
      </c>
      <c r="L13" s="187" t="s">
        <v>100</v>
      </c>
      <c r="M13" s="187" t="s">
        <v>205</v>
      </c>
      <c r="N13" s="187" t="s">
        <v>206</v>
      </c>
      <c r="O13" s="188" t="s">
        <v>27</v>
      </c>
      <c r="P13" s="188" t="s">
        <v>236</v>
      </c>
      <c r="Q13" s="189"/>
      <c r="R13" s="185" t="s">
        <v>41</v>
      </c>
      <c r="S13" s="185" t="s">
        <v>237</v>
      </c>
      <c r="T13" s="186" t="s">
        <v>228</v>
      </c>
      <c r="U13" s="187" t="s">
        <v>204</v>
      </c>
      <c r="V13" s="187" t="s">
        <v>100</v>
      </c>
      <c r="W13" s="187" t="s">
        <v>205</v>
      </c>
      <c r="X13" s="187" t="s">
        <v>206</v>
      </c>
      <c r="Y13" s="188" t="s">
        <v>27</v>
      </c>
      <c r="Z13" s="188" t="s">
        <v>236</v>
      </c>
    </row>
    <row r="14" spans="1:26" ht="15" thickBot="1" x14ac:dyDescent="0.35">
      <c r="A14" s="29"/>
      <c r="C14" s="258" t="s">
        <v>7</v>
      </c>
      <c r="D14" s="199">
        <f>SUM(D7:D13)</f>
        <v>32</v>
      </c>
      <c r="G14" s="252" t="s">
        <v>161</v>
      </c>
      <c r="H14" s="118" t="s">
        <v>239</v>
      </c>
      <c r="I14" s="201"/>
      <c r="J14" s="137"/>
      <c r="K14" s="137"/>
      <c r="L14" s="137"/>
      <c r="M14" s="137"/>
      <c r="N14" s="153"/>
      <c r="O14" s="156"/>
      <c r="P14" s="156"/>
      <c r="Q14" s="342"/>
      <c r="R14" s="156"/>
      <c r="S14" s="155"/>
      <c r="T14" s="137"/>
      <c r="U14" s="137"/>
      <c r="V14" s="137"/>
      <c r="W14" s="137"/>
      <c r="X14" s="455"/>
      <c r="Y14" s="156"/>
      <c r="Z14" s="156"/>
    </row>
    <row r="15" spans="1:26" ht="15.6" thickTop="1" thickBot="1" x14ac:dyDescent="0.35">
      <c r="A15" s="30"/>
      <c r="B15" s="261"/>
      <c r="C15" s="261"/>
      <c r="D15" s="262"/>
      <c r="G15" s="202" t="s">
        <v>242</v>
      </c>
      <c r="H15" s="125" t="s">
        <v>239</v>
      </c>
      <c r="I15" s="279"/>
      <c r="J15" s="280"/>
      <c r="K15" s="280"/>
      <c r="L15" s="280"/>
      <c r="M15" s="280"/>
      <c r="N15" s="281"/>
      <c r="O15" s="282"/>
      <c r="P15" s="282"/>
      <c r="Q15" s="296"/>
      <c r="R15" s="282"/>
      <c r="S15" s="456"/>
      <c r="T15" s="280"/>
      <c r="U15" s="280"/>
      <c r="V15" s="280"/>
      <c r="W15" s="280"/>
      <c r="X15" s="457"/>
      <c r="Y15" s="207"/>
      <c r="Z15" s="207"/>
    </row>
    <row r="16" spans="1:26" ht="15" thickBot="1" x14ac:dyDescent="0.35">
      <c r="G16" s="202">
        <f>SUM(H16:H27)</f>
        <v>9</v>
      </c>
      <c r="H16" s="228">
        <f>MAX(K16:N16)+MAX(U16:X16)</f>
        <v>1</v>
      </c>
      <c r="I16" s="29" t="s">
        <v>32</v>
      </c>
      <c r="N16" s="241">
        <v>1</v>
      </c>
      <c r="O16" s="211">
        <f>(J16+K16)*$Y$3</f>
        <v>0</v>
      </c>
      <c r="P16" s="211"/>
      <c r="Q16" s="293"/>
      <c r="R16" s="544" t="s">
        <v>385</v>
      </c>
      <c r="S16" s="349" t="s">
        <v>53</v>
      </c>
      <c r="T16" s="348">
        <v>2</v>
      </c>
      <c r="U16" s="348"/>
      <c r="V16" s="348"/>
      <c r="W16" s="348"/>
      <c r="X16" s="474"/>
      <c r="Y16" s="288">
        <f>(T16+U16)*$Y$3</f>
        <v>1</v>
      </c>
      <c r="Z16" s="211"/>
    </row>
    <row r="17" spans="1:26" x14ac:dyDescent="0.3">
      <c r="A17" s="28" t="s">
        <v>19</v>
      </c>
      <c r="B17" s="274"/>
      <c r="C17" s="274" t="s">
        <v>13</v>
      </c>
      <c r="D17" s="215">
        <f>(J6+K6)*$Y$3</f>
        <v>0</v>
      </c>
      <c r="G17" s="202"/>
      <c r="H17" s="228">
        <f t="shared" ref="H17:H27" si="3">MAX(K17:N17)+MAX(U17:X17)</f>
        <v>1</v>
      </c>
      <c r="I17" s="29"/>
      <c r="O17" s="211">
        <f t="shared" ref="O17:O27" si="4">(J17+K17)*$Y$3</f>
        <v>0</v>
      </c>
      <c r="P17" s="211"/>
      <c r="Q17" s="293"/>
      <c r="R17" s="43"/>
      <c r="S17" s="65" t="s">
        <v>386</v>
      </c>
      <c r="T17" s="49"/>
      <c r="U17" s="49">
        <v>1</v>
      </c>
      <c r="V17" s="49"/>
      <c r="W17" s="49"/>
      <c r="X17" s="48"/>
      <c r="Y17" s="288">
        <f t="shared" ref="Y17:Y27" si="5">(T17+U17)*$Y$3</f>
        <v>0.5</v>
      </c>
      <c r="Z17" s="211"/>
    </row>
    <row r="18" spans="1:26" ht="15" thickBot="1" x14ac:dyDescent="0.35">
      <c r="A18" s="29"/>
      <c r="C18" s="258" t="s">
        <v>14</v>
      </c>
      <c r="D18" s="217">
        <f>(J2+K2)*$Y$2</f>
        <v>9.2000000000000011</v>
      </c>
      <c r="G18" s="202"/>
      <c r="H18" s="228">
        <f t="shared" si="3"/>
        <v>0</v>
      </c>
      <c r="I18" s="29"/>
      <c r="O18" s="211">
        <f t="shared" si="4"/>
        <v>0</v>
      </c>
      <c r="P18" s="211"/>
      <c r="Q18" s="293"/>
      <c r="R18" s="43"/>
      <c r="S18" s="65" t="s">
        <v>388</v>
      </c>
      <c r="T18" s="49">
        <v>2</v>
      </c>
      <c r="U18" s="49"/>
      <c r="V18" s="49"/>
      <c r="W18" s="49"/>
      <c r="X18" s="48"/>
      <c r="Y18" s="288">
        <f t="shared" si="5"/>
        <v>1</v>
      </c>
      <c r="Z18" s="216"/>
    </row>
    <row r="19" spans="1:26" ht="15.6" thickTop="1" thickBot="1" x14ac:dyDescent="0.35">
      <c r="A19" s="30"/>
      <c r="B19" s="261"/>
      <c r="C19" s="218" t="s">
        <v>7</v>
      </c>
      <c r="D19" s="219">
        <f>SUM(D17:D18)</f>
        <v>9.2000000000000011</v>
      </c>
      <c r="G19" s="255"/>
      <c r="H19" s="228">
        <f t="shared" si="3"/>
        <v>2</v>
      </c>
      <c r="I19" s="57" t="s">
        <v>132</v>
      </c>
      <c r="J19" s="266"/>
      <c r="K19" s="266"/>
      <c r="L19" s="266"/>
      <c r="M19" s="266">
        <v>1</v>
      </c>
      <c r="N19" s="266"/>
      <c r="O19" s="211">
        <f t="shared" si="4"/>
        <v>0</v>
      </c>
      <c r="P19" s="216"/>
      <c r="Q19" s="293"/>
      <c r="R19" s="43"/>
      <c r="S19" s="65" t="s">
        <v>387</v>
      </c>
      <c r="T19" s="49"/>
      <c r="U19" s="49">
        <v>1</v>
      </c>
      <c r="V19" s="49"/>
      <c r="W19" s="49"/>
      <c r="X19" s="48"/>
      <c r="Y19" s="288">
        <f t="shared" si="5"/>
        <v>0.5</v>
      </c>
      <c r="Z19" s="216"/>
    </row>
    <row r="20" spans="1:26" x14ac:dyDescent="0.3">
      <c r="G20" s="255"/>
      <c r="H20" s="228">
        <f t="shared" si="3"/>
        <v>1</v>
      </c>
      <c r="I20" s="443"/>
      <c r="J20" s="266"/>
      <c r="K20" s="266"/>
      <c r="L20" s="266"/>
      <c r="M20" s="266"/>
      <c r="N20" s="266"/>
      <c r="O20" s="211">
        <f t="shared" si="4"/>
        <v>0</v>
      </c>
      <c r="P20" s="216"/>
      <c r="Q20" s="293"/>
      <c r="R20" s="43"/>
      <c r="S20" s="65" t="s">
        <v>91</v>
      </c>
      <c r="T20" s="49"/>
      <c r="U20" s="49">
        <v>1</v>
      </c>
      <c r="V20" s="49"/>
      <c r="W20" s="49"/>
      <c r="X20" s="48"/>
      <c r="Y20" s="288">
        <f t="shared" si="5"/>
        <v>0.5</v>
      </c>
      <c r="Z20" s="216"/>
    </row>
    <row r="21" spans="1:26" ht="15" thickBot="1" x14ac:dyDescent="0.35">
      <c r="G21" s="255"/>
      <c r="H21" s="228">
        <f t="shared" si="3"/>
        <v>1</v>
      </c>
      <c r="I21" s="443"/>
      <c r="J21" s="266"/>
      <c r="K21" s="266"/>
      <c r="L21" s="266"/>
      <c r="M21" s="266"/>
      <c r="N21" s="266"/>
      <c r="O21" s="211">
        <f t="shared" si="4"/>
        <v>0</v>
      </c>
      <c r="P21" s="216"/>
      <c r="Q21" s="293"/>
      <c r="R21" s="44"/>
      <c r="S21" s="68" t="s">
        <v>494</v>
      </c>
      <c r="T21" s="33"/>
      <c r="U21" s="33">
        <v>1</v>
      </c>
      <c r="V21" s="33"/>
      <c r="W21" s="33"/>
      <c r="X21" s="470"/>
      <c r="Y21" s="288">
        <f t="shared" si="5"/>
        <v>0.5</v>
      </c>
      <c r="Z21" s="216"/>
    </row>
    <row r="22" spans="1:26" x14ac:dyDescent="0.3">
      <c r="A22" s="220" t="s">
        <v>243</v>
      </c>
      <c r="B22" s="274"/>
      <c r="C22" s="274"/>
      <c r="D22" s="272"/>
      <c r="G22" s="255"/>
      <c r="H22" s="228">
        <f t="shared" si="3"/>
        <v>1</v>
      </c>
      <c r="I22" s="57"/>
      <c r="J22" s="266"/>
      <c r="K22" s="266"/>
      <c r="L22" s="266"/>
      <c r="M22" s="266"/>
      <c r="N22" s="266"/>
      <c r="O22" s="211">
        <f t="shared" si="4"/>
        <v>0</v>
      </c>
      <c r="P22" s="216"/>
      <c r="Q22" s="293"/>
      <c r="R22" s="70" t="s">
        <v>532</v>
      </c>
      <c r="S22" s="241" t="s">
        <v>533</v>
      </c>
      <c r="U22" s="241">
        <v>1</v>
      </c>
      <c r="V22" s="253"/>
      <c r="W22" s="253"/>
      <c r="X22" s="254"/>
      <c r="Y22" s="288">
        <f t="shared" si="5"/>
        <v>0.5</v>
      </c>
      <c r="Z22" s="216"/>
    </row>
    <row r="23" spans="1:26" x14ac:dyDescent="0.3">
      <c r="A23" s="221"/>
      <c r="B23" s="157" t="s">
        <v>232</v>
      </c>
      <c r="C23" s="157"/>
      <c r="D23" s="158"/>
      <c r="G23" s="255"/>
      <c r="H23" s="228">
        <f t="shared" si="3"/>
        <v>0</v>
      </c>
      <c r="I23" s="57"/>
      <c r="J23" s="266"/>
      <c r="K23" s="266"/>
      <c r="L23" s="266"/>
      <c r="M23" s="266"/>
      <c r="N23" s="266"/>
      <c r="O23" s="211">
        <f t="shared" si="4"/>
        <v>0</v>
      </c>
      <c r="P23" s="216"/>
      <c r="Q23" s="293"/>
      <c r="R23" s="255"/>
      <c r="S23" s="253"/>
      <c r="T23" s="253"/>
      <c r="U23" s="253"/>
      <c r="V23" s="253"/>
      <c r="W23" s="253"/>
      <c r="X23" s="254"/>
      <c r="Y23" s="288">
        <f t="shared" si="5"/>
        <v>0</v>
      </c>
      <c r="Z23" s="216"/>
    </row>
    <row r="24" spans="1:26" ht="15" thickBot="1" x14ac:dyDescent="0.35">
      <c r="A24" s="29"/>
      <c r="B24" s="159"/>
      <c r="C24" s="24" t="s">
        <v>20</v>
      </c>
      <c r="D24" s="25">
        <f>B24*0.5</f>
        <v>0</v>
      </c>
      <c r="G24" s="255"/>
      <c r="H24" s="228">
        <f t="shared" si="3"/>
        <v>0</v>
      </c>
      <c r="I24" s="57"/>
      <c r="J24" s="266"/>
      <c r="K24" s="266"/>
      <c r="L24" s="266"/>
      <c r="M24" s="266"/>
      <c r="N24" s="266"/>
      <c r="O24" s="211">
        <f t="shared" si="4"/>
        <v>0</v>
      </c>
      <c r="P24" s="216"/>
      <c r="Q24" s="293"/>
      <c r="R24" s="260"/>
      <c r="S24" s="261"/>
      <c r="T24" s="261"/>
      <c r="U24" s="261"/>
      <c r="V24" s="261"/>
      <c r="W24" s="261"/>
      <c r="X24" s="262"/>
      <c r="Y24" s="288">
        <f t="shared" si="5"/>
        <v>0</v>
      </c>
      <c r="Z24" s="216"/>
    </row>
    <row r="25" spans="1:26" x14ac:dyDescent="0.3">
      <c r="A25" s="29"/>
      <c r="B25" s="159">
        <v>0</v>
      </c>
      <c r="C25" s="24" t="s">
        <v>21</v>
      </c>
      <c r="D25" s="25">
        <f>B25</f>
        <v>0</v>
      </c>
      <c r="G25" s="255"/>
      <c r="H25" s="228">
        <f t="shared" si="3"/>
        <v>1</v>
      </c>
      <c r="I25" s="485" t="s">
        <v>463</v>
      </c>
      <c r="J25" s="348"/>
      <c r="K25" s="348"/>
      <c r="L25" s="348">
        <v>1</v>
      </c>
      <c r="M25" s="348">
        <v>1</v>
      </c>
      <c r="N25" s="348"/>
      <c r="O25" s="211">
        <f t="shared" si="4"/>
        <v>0</v>
      </c>
      <c r="P25" s="327"/>
      <c r="Q25" s="342"/>
      <c r="R25" s="70" t="s">
        <v>434</v>
      </c>
      <c r="S25" s="348" t="s">
        <v>433</v>
      </c>
      <c r="T25" s="466">
        <v>1</v>
      </c>
      <c r="U25" s="466"/>
      <c r="V25" s="466">
        <v>0</v>
      </c>
      <c r="W25" s="348"/>
      <c r="X25" s="467"/>
      <c r="Y25" s="288">
        <f t="shared" si="5"/>
        <v>0.5</v>
      </c>
      <c r="Z25" s="216"/>
    </row>
    <row r="26" spans="1:26" ht="15" thickBot="1" x14ac:dyDescent="0.35">
      <c r="A26" s="29"/>
      <c r="B26" s="159">
        <v>1</v>
      </c>
      <c r="C26" s="24" t="s">
        <v>22</v>
      </c>
      <c r="D26" s="25">
        <f>B26</f>
        <v>1</v>
      </c>
      <c r="G26" s="255"/>
      <c r="H26" s="228">
        <f t="shared" si="3"/>
        <v>1</v>
      </c>
      <c r="I26" s="468" t="s">
        <v>445</v>
      </c>
      <c r="J26" s="69"/>
      <c r="K26" s="69"/>
      <c r="L26" s="69"/>
      <c r="M26" s="69"/>
      <c r="N26" s="69">
        <v>1</v>
      </c>
      <c r="O26" s="211">
        <f t="shared" si="4"/>
        <v>0</v>
      </c>
      <c r="P26" s="232"/>
      <c r="Q26" s="296"/>
      <c r="R26" s="260"/>
      <c r="S26" s="469"/>
      <c r="T26" s="33"/>
      <c r="U26" s="33"/>
      <c r="V26" s="33"/>
      <c r="W26" s="69"/>
      <c r="X26" s="470"/>
      <c r="Y26" s="288">
        <f t="shared" si="5"/>
        <v>0</v>
      </c>
      <c r="Z26" s="216"/>
    </row>
    <row r="27" spans="1:26" ht="15" thickBot="1" x14ac:dyDescent="0.35">
      <c r="A27" s="29"/>
      <c r="B27" s="159">
        <v>4</v>
      </c>
      <c r="C27" s="24" t="s">
        <v>23</v>
      </c>
      <c r="D27" s="25">
        <f>B27</f>
        <v>4</v>
      </c>
      <c r="G27" s="255"/>
      <c r="H27" s="228">
        <f t="shared" si="3"/>
        <v>0</v>
      </c>
      <c r="I27" s="57"/>
      <c r="J27" s="266"/>
      <c r="K27" s="266"/>
      <c r="L27" s="266"/>
      <c r="M27" s="266"/>
      <c r="N27" s="266"/>
      <c r="O27" s="211">
        <f t="shared" si="4"/>
        <v>0</v>
      </c>
      <c r="P27" s="438"/>
      <c r="Q27" s="293"/>
      <c r="R27" s="238"/>
      <c r="S27" s="450"/>
      <c r="T27" s="416"/>
      <c r="U27" s="416"/>
      <c r="V27" s="416"/>
      <c r="W27" s="259"/>
      <c r="X27" s="254"/>
      <c r="Y27" s="288">
        <f t="shared" si="5"/>
        <v>0</v>
      </c>
      <c r="Z27" s="216"/>
    </row>
    <row r="28" spans="1:26" ht="15" thickBot="1" x14ac:dyDescent="0.35">
      <c r="A28" s="30"/>
      <c r="B28" s="160"/>
      <c r="C28" s="161" t="s">
        <v>25</v>
      </c>
      <c r="D28" s="162">
        <f>SUM(D24:D27)</f>
        <v>5</v>
      </c>
      <c r="G28" s="250" t="s">
        <v>459</v>
      </c>
      <c r="H28" s="184" t="s">
        <v>69</v>
      </c>
      <c r="I28" s="185" t="s">
        <v>237</v>
      </c>
      <c r="J28" s="186" t="s">
        <v>228</v>
      </c>
      <c r="K28" s="187" t="s">
        <v>204</v>
      </c>
      <c r="L28" s="187" t="s">
        <v>100</v>
      </c>
      <c r="M28" s="187" t="s">
        <v>205</v>
      </c>
      <c r="N28" s="187" t="s">
        <v>206</v>
      </c>
      <c r="O28" s="188" t="s">
        <v>27</v>
      </c>
      <c r="P28" s="188" t="s">
        <v>236</v>
      </c>
      <c r="Q28" s="189"/>
      <c r="R28" s="185" t="s">
        <v>41</v>
      </c>
      <c r="S28" s="185" t="s">
        <v>237</v>
      </c>
      <c r="T28" s="186" t="s">
        <v>228</v>
      </c>
      <c r="U28" s="187" t="s">
        <v>204</v>
      </c>
      <c r="V28" s="187" t="s">
        <v>100</v>
      </c>
      <c r="W28" s="187" t="s">
        <v>205</v>
      </c>
      <c r="X28" s="187" t="s">
        <v>206</v>
      </c>
      <c r="Y28" s="188" t="s">
        <v>27</v>
      </c>
      <c r="Z28" s="188" t="s">
        <v>236</v>
      </c>
    </row>
    <row r="29" spans="1:26" ht="15" thickBot="1" x14ac:dyDescent="0.35">
      <c r="G29" s="252" t="s">
        <v>161</v>
      </c>
      <c r="H29" s="118" t="s">
        <v>239</v>
      </c>
      <c r="I29" s="201" t="s">
        <v>44</v>
      </c>
      <c r="J29" s="137"/>
      <c r="K29" s="137"/>
      <c r="L29" s="137">
        <v>1</v>
      </c>
      <c r="M29" s="137">
        <v>1</v>
      </c>
      <c r="N29" s="153"/>
      <c r="O29" s="156"/>
      <c r="P29" s="156"/>
      <c r="Q29" s="342"/>
      <c r="R29" s="156"/>
      <c r="S29" s="155"/>
      <c r="T29" s="137"/>
      <c r="U29" s="137"/>
      <c r="V29" s="137"/>
      <c r="W29" s="137"/>
      <c r="X29" s="455"/>
      <c r="Y29" s="156"/>
      <c r="Z29" s="156"/>
    </row>
    <row r="30" spans="1:26" ht="15" thickBot="1" x14ac:dyDescent="0.35">
      <c r="A30" s="220" t="s">
        <v>244</v>
      </c>
      <c r="B30" s="274"/>
      <c r="C30" s="274"/>
      <c r="D30" s="272"/>
      <c r="G30" s="202" t="s">
        <v>242</v>
      </c>
      <c r="H30" s="227" t="s">
        <v>239</v>
      </c>
      <c r="I30" s="279" t="s">
        <v>343</v>
      </c>
      <c r="J30" s="280"/>
      <c r="K30" s="280"/>
      <c r="L30" s="280">
        <v>1</v>
      </c>
      <c r="M30" s="280">
        <v>1</v>
      </c>
      <c r="N30" s="281"/>
      <c r="O30" s="282"/>
      <c r="P30" s="282"/>
      <c r="Q30" s="296"/>
      <c r="R30" s="282"/>
      <c r="S30" s="456"/>
      <c r="T30" s="280"/>
      <c r="U30" s="280"/>
      <c r="V30" s="280"/>
      <c r="W30" s="280"/>
      <c r="X30" s="457"/>
      <c r="Y30" s="207"/>
      <c r="Z30" s="207"/>
    </row>
    <row r="31" spans="1:26" x14ac:dyDescent="0.3">
      <c r="A31" s="221"/>
      <c r="C31" s="241" t="s">
        <v>26</v>
      </c>
      <c r="D31" s="254">
        <f>P2</f>
        <v>0</v>
      </c>
      <c r="G31" s="202">
        <f>SUM(H31:H42)</f>
        <v>12</v>
      </c>
      <c r="H31" s="228">
        <f t="shared" ref="H31:H38" si="6">MAX(K31:N31)+MAX(U31:X31)</f>
        <v>4</v>
      </c>
      <c r="I31" s="29" t="s">
        <v>468</v>
      </c>
      <c r="M31" s="241">
        <v>1</v>
      </c>
      <c r="N31" s="241">
        <v>1</v>
      </c>
      <c r="O31" s="216">
        <f t="shared" ref="O31:O38" si="7">(J31+K31)*$Y$3</f>
        <v>0</v>
      </c>
      <c r="P31" s="211"/>
      <c r="Q31" s="293"/>
      <c r="R31" s="238" t="s">
        <v>130</v>
      </c>
      <c r="S31" s="450" t="s">
        <v>478</v>
      </c>
      <c r="T31" s="416">
        <v>1</v>
      </c>
      <c r="U31" s="416"/>
      <c r="V31" s="416">
        <v>3</v>
      </c>
      <c r="W31" s="416">
        <v>3</v>
      </c>
      <c r="X31" s="254"/>
      <c r="Y31" s="216">
        <f t="shared" ref="Y31:Y40" si="8">(T31+U31)*$Y$3</f>
        <v>0.5</v>
      </c>
      <c r="Z31" s="216"/>
    </row>
    <row r="32" spans="1:26" x14ac:dyDescent="0.3">
      <c r="A32" s="29"/>
      <c r="B32" s="157" t="s">
        <v>232</v>
      </c>
      <c r="C32" s="157"/>
      <c r="D32" s="224"/>
      <c r="G32" s="255"/>
      <c r="H32" s="228">
        <f t="shared" si="6"/>
        <v>1</v>
      </c>
      <c r="I32" s="57" t="s">
        <v>395</v>
      </c>
      <c r="J32" s="266"/>
      <c r="K32" s="266"/>
      <c r="L32" s="266">
        <v>1</v>
      </c>
      <c r="M32" s="266">
        <v>1</v>
      </c>
      <c r="N32" s="266"/>
      <c r="O32" s="216">
        <f t="shared" si="7"/>
        <v>0</v>
      </c>
      <c r="P32" s="216"/>
      <c r="Q32" s="293"/>
      <c r="R32" s="255"/>
      <c r="S32" s="449"/>
      <c r="T32" s="253"/>
      <c r="U32" s="253"/>
      <c r="V32" s="253"/>
      <c r="W32" s="259"/>
      <c r="X32" s="254"/>
      <c r="Y32" s="216">
        <f t="shared" si="8"/>
        <v>0</v>
      </c>
      <c r="Z32" s="216"/>
    </row>
    <row r="33" spans="1:26" x14ac:dyDescent="0.3">
      <c r="A33" s="29"/>
      <c r="B33" s="159"/>
      <c r="C33" s="24" t="s">
        <v>16</v>
      </c>
      <c r="D33" s="25">
        <f>INT(B33/4)</f>
        <v>0</v>
      </c>
      <c r="G33" s="255"/>
      <c r="H33" s="228">
        <f t="shared" si="6"/>
        <v>4</v>
      </c>
      <c r="I33" s="443" t="s">
        <v>106</v>
      </c>
      <c r="J33" s="266"/>
      <c r="K33" s="266"/>
      <c r="L33" s="266">
        <v>1</v>
      </c>
      <c r="M33" s="266">
        <v>1</v>
      </c>
      <c r="N33" s="266"/>
      <c r="O33" s="216">
        <f t="shared" si="7"/>
        <v>0</v>
      </c>
      <c r="P33" s="216"/>
      <c r="Q33" s="293"/>
      <c r="R33" s="255" t="s">
        <v>191</v>
      </c>
      <c r="S33" s="449" t="s">
        <v>488</v>
      </c>
      <c r="T33" s="253">
        <v>3</v>
      </c>
      <c r="U33" s="253"/>
      <c r="V33" s="253">
        <v>3</v>
      </c>
      <c r="W33" s="259">
        <v>2</v>
      </c>
      <c r="X33" s="254"/>
      <c r="Y33" s="216">
        <f t="shared" si="8"/>
        <v>1.5</v>
      </c>
      <c r="Z33" s="216"/>
    </row>
    <row r="34" spans="1:26" x14ac:dyDescent="0.3">
      <c r="A34" s="29"/>
      <c r="B34" s="159"/>
      <c r="C34" s="24" t="s">
        <v>17</v>
      </c>
      <c r="D34" s="25">
        <f>INT(B34/3)</f>
        <v>0</v>
      </c>
      <c r="G34" s="255"/>
      <c r="H34" s="228">
        <f t="shared" si="6"/>
        <v>1</v>
      </c>
      <c r="I34" s="443"/>
      <c r="J34" s="266"/>
      <c r="K34" s="266"/>
      <c r="L34" s="266"/>
      <c r="M34" s="266"/>
      <c r="N34" s="266"/>
      <c r="O34" s="216">
        <f t="shared" si="7"/>
        <v>0</v>
      </c>
      <c r="P34" s="216"/>
      <c r="Q34" s="293"/>
      <c r="R34" s="255" t="s">
        <v>191</v>
      </c>
      <c r="S34" s="449" t="s">
        <v>75</v>
      </c>
      <c r="T34" s="253"/>
      <c r="U34" s="253">
        <v>1</v>
      </c>
      <c r="V34" s="253">
        <v>1</v>
      </c>
      <c r="W34" s="259">
        <v>1</v>
      </c>
      <c r="X34" s="254"/>
      <c r="Y34" s="216">
        <f t="shared" si="8"/>
        <v>0.5</v>
      </c>
      <c r="Z34" s="216"/>
    </row>
    <row r="35" spans="1:26" x14ac:dyDescent="0.3">
      <c r="A35" s="29"/>
      <c r="B35" s="159"/>
      <c r="C35" s="24" t="s">
        <v>18</v>
      </c>
      <c r="D35" s="25">
        <f>B35</f>
        <v>0</v>
      </c>
      <c r="G35" s="255"/>
      <c r="H35" s="228">
        <f t="shared" si="6"/>
        <v>0</v>
      </c>
      <c r="I35" s="443"/>
      <c r="J35" s="266"/>
      <c r="K35" s="266"/>
      <c r="L35" s="266"/>
      <c r="M35" s="266"/>
      <c r="N35" s="266"/>
      <c r="O35" s="216">
        <f t="shared" si="7"/>
        <v>0</v>
      </c>
      <c r="P35" s="216"/>
      <c r="Q35" s="293"/>
      <c r="R35" s="255"/>
      <c r="S35" s="450"/>
      <c r="T35" s="253"/>
      <c r="U35" s="253"/>
      <c r="V35" s="253"/>
      <c r="W35" s="259"/>
      <c r="X35" s="254"/>
      <c r="Y35" s="216">
        <f t="shared" si="8"/>
        <v>0</v>
      </c>
      <c r="Z35" s="216"/>
    </row>
    <row r="36" spans="1:26" x14ac:dyDescent="0.3">
      <c r="A36" s="29"/>
      <c r="C36" s="241" t="s">
        <v>12</v>
      </c>
      <c r="D36" s="136">
        <f>INT((D14-10)/5)</f>
        <v>4</v>
      </c>
      <c r="G36" s="255"/>
      <c r="H36" s="228">
        <f t="shared" si="6"/>
        <v>0</v>
      </c>
      <c r="I36" s="57"/>
      <c r="J36" s="266"/>
      <c r="K36" s="266"/>
      <c r="L36" s="266"/>
      <c r="M36" s="266"/>
      <c r="N36" s="266"/>
      <c r="O36" s="216">
        <f t="shared" si="7"/>
        <v>0</v>
      </c>
      <c r="P36" s="216"/>
      <c r="Q36" s="293"/>
      <c r="R36" s="255"/>
      <c r="S36" s="450"/>
      <c r="T36" s="253"/>
      <c r="U36" s="253"/>
      <c r="V36" s="253"/>
      <c r="W36" s="259"/>
      <c r="X36" s="254"/>
      <c r="Y36" s="216">
        <f t="shared" si="8"/>
        <v>0</v>
      </c>
      <c r="Z36" s="216"/>
    </row>
    <row r="37" spans="1:26" ht="15" thickBot="1" x14ac:dyDescent="0.35">
      <c r="A37" s="29"/>
      <c r="C37" s="263" t="s">
        <v>7</v>
      </c>
      <c r="D37" s="229">
        <f>SUM(D33:D36)</f>
        <v>4</v>
      </c>
      <c r="G37" s="255"/>
      <c r="H37" s="228">
        <f t="shared" si="6"/>
        <v>2</v>
      </c>
      <c r="I37" s="57" t="s">
        <v>446</v>
      </c>
      <c r="J37" s="256"/>
      <c r="K37" s="256"/>
      <c r="L37" s="256">
        <v>1</v>
      </c>
      <c r="M37" s="256">
        <v>2</v>
      </c>
      <c r="N37" s="266"/>
      <c r="O37" s="216">
        <f t="shared" si="7"/>
        <v>0</v>
      </c>
      <c r="P37" s="216"/>
      <c r="Q37" s="293"/>
      <c r="R37" s="255"/>
      <c r="S37" s="450"/>
      <c r="T37" s="253"/>
      <c r="U37" s="253"/>
      <c r="V37" s="253"/>
      <c r="W37" s="259"/>
      <c r="X37" s="254"/>
      <c r="Y37" s="216">
        <f t="shared" si="8"/>
        <v>0</v>
      </c>
      <c r="Z37" s="216"/>
    </row>
    <row r="38" spans="1:26" ht="15" thickTop="1" x14ac:dyDescent="0.3">
      <c r="A38" s="29"/>
      <c r="C38" s="415"/>
      <c r="D38" s="543"/>
      <c r="G38" s="255"/>
      <c r="H38" s="228">
        <f t="shared" si="6"/>
        <v>0</v>
      </c>
      <c r="I38" s="57"/>
      <c r="J38" s="266"/>
      <c r="K38" s="266"/>
      <c r="L38" s="266"/>
      <c r="M38" s="266"/>
      <c r="N38" s="266"/>
      <c r="O38" s="216">
        <f t="shared" si="7"/>
        <v>0</v>
      </c>
      <c r="P38" s="216"/>
      <c r="Q38" s="293"/>
      <c r="R38" s="255"/>
      <c r="S38" s="450"/>
      <c r="T38" s="253"/>
      <c r="U38" s="253"/>
      <c r="V38" s="253"/>
      <c r="W38" s="259"/>
      <c r="X38" s="254"/>
      <c r="Y38" s="216">
        <f t="shared" si="8"/>
        <v>0</v>
      </c>
      <c r="Z38" s="216"/>
    </row>
    <row r="39" spans="1:26" x14ac:dyDescent="0.3">
      <c r="A39" s="29"/>
      <c r="C39" s="415" t="s">
        <v>502</v>
      </c>
      <c r="D39" s="543">
        <f>D28-D37</f>
        <v>1</v>
      </c>
      <c r="G39" s="255"/>
      <c r="H39" s="228">
        <f>MAX(K39:N39)+MAX(U39:X39)</f>
        <v>0</v>
      </c>
      <c r="I39" s="57"/>
      <c r="J39" s="266"/>
      <c r="K39" s="266"/>
      <c r="L39" s="266"/>
      <c r="M39" s="266"/>
      <c r="N39" s="266"/>
      <c r="O39" s="216">
        <f>(J39+K39)*$Y$3</f>
        <v>0</v>
      </c>
      <c r="P39" s="216"/>
      <c r="Q39" s="293"/>
      <c r="R39" s="265"/>
      <c r="S39" s="259"/>
      <c r="T39" s="259"/>
      <c r="U39" s="259"/>
      <c r="V39" s="259"/>
      <c r="W39" s="259"/>
      <c r="X39" s="254"/>
      <c r="Y39" s="216">
        <f t="shared" si="8"/>
        <v>0</v>
      </c>
      <c r="Z39" s="216"/>
    </row>
    <row r="40" spans="1:26" x14ac:dyDescent="0.3">
      <c r="A40" s="29"/>
      <c r="C40" s="415"/>
      <c r="D40" s="543"/>
      <c r="G40" s="255"/>
      <c r="H40" s="228">
        <f>MAX(K40:N40)+MAX(U40:X40)</f>
        <v>0</v>
      </c>
      <c r="I40" s="57"/>
      <c r="J40" s="266"/>
      <c r="K40" s="266"/>
      <c r="L40" s="266"/>
      <c r="M40" s="266"/>
      <c r="N40" s="266"/>
      <c r="O40" s="216">
        <f>(J40+K40)*$Y$3</f>
        <v>0</v>
      </c>
      <c r="P40" s="216"/>
      <c r="Q40" s="293"/>
      <c r="R40" s="255"/>
      <c r="S40" s="450"/>
      <c r="T40" s="253"/>
      <c r="U40" s="253"/>
      <c r="V40" s="253"/>
      <c r="W40" s="259"/>
      <c r="X40" s="254"/>
      <c r="Y40" s="216">
        <f t="shared" si="8"/>
        <v>0</v>
      </c>
      <c r="Z40" s="216"/>
    </row>
    <row r="41" spans="1:26" x14ac:dyDescent="0.3">
      <c r="A41" s="29"/>
      <c r="C41" s="415"/>
      <c r="D41" s="543"/>
      <c r="G41" s="255"/>
      <c r="H41" s="228">
        <f>MAX(K41:N41)+MAX(U41:X41)</f>
        <v>0</v>
      </c>
      <c r="I41" s="57"/>
      <c r="J41" s="266"/>
      <c r="K41" s="266"/>
      <c r="L41" s="266"/>
      <c r="M41" s="266"/>
      <c r="N41" s="266"/>
      <c r="O41" s="216">
        <f>(J41+K41)*$Y$3</f>
        <v>0</v>
      </c>
      <c r="P41" s="216"/>
      <c r="Q41" s="293"/>
      <c r="R41" s="255"/>
      <c r="S41" s="450"/>
      <c r="T41" s="253"/>
      <c r="U41" s="253"/>
      <c r="V41" s="253"/>
      <c r="W41" s="259"/>
      <c r="X41" s="254"/>
      <c r="Y41" s="216">
        <f t="shared" ref="Y41" si="9">(T41+U41)*$Y$3</f>
        <v>0</v>
      </c>
      <c r="Z41" s="216"/>
    </row>
    <row r="42" spans="1:26" ht="15" thickBot="1" x14ac:dyDescent="0.35">
      <c r="A42" s="30"/>
      <c r="B42" s="261"/>
      <c r="C42" s="261" t="s">
        <v>34</v>
      </c>
      <c r="D42" s="262">
        <f>IF((D39)&lt;=0,0,D39)</f>
        <v>1</v>
      </c>
      <c r="G42" s="260"/>
      <c r="H42" s="228">
        <f>MAX(K42:N42)+MAX(U42:X42)</f>
        <v>0</v>
      </c>
      <c r="I42" s="81"/>
      <c r="J42" s="269"/>
      <c r="K42" s="269"/>
      <c r="L42" s="269"/>
      <c r="M42" s="269"/>
      <c r="N42" s="269"/>
      <c r="O42" s="216">
        <f>(J42+K42)*$Y$3</f>
        <v>0</v>
      </c>
      <c r="P42" s="216"/>
      <c r="Q42" s="296"/>
      <c r="R42" s="268"/>
      <c r="S42" s="269"/>
      <c r="T42" s="269"/>
      <c r="U42" s="269"/>
      <c r="V42" s="269"/>
      <c r="W42" s="269"/>
      <c r="X42" s="262"/>
      <c r="Y42" s="232">
        <f>(T42+U42)*$Y$3</f>
        <v>0</v>
      </c>
      <c r="Z42" s="216"/>
    </row>
    <row r="43" spans="1:26" ht="15" thickBot="1" x14ac:dyDescent="0.35">
      <c r="G43" s="250" t="s">
        <v>447</v>
      </c>
      <c r="H43" s="184" t="s">
        <v>69</v>
      </c>
      <c r="I43" s="185" t="s">
        <v>237</v>
      </c>
      <c r="J43" s="186" t="s">
        <v>228</v>
      </c>
      <c r="K43" s="187" t="s">
        <v>204</v>
      </c>
      <c r="L43" s="187" t="s">
        <v>100</v>
      </c>
      <c r="M43" s="187" t="s">
        <v>205</v>
      </c>
      <c r="N43" s="187" t="s">
        <v>206</v>
      </c>
      <c r="O43" s="188" t="s">
        <v>27</v>
      </c>
      <c r="P43" s="188" t="s">
        <v>236</v>
      </c>
      <c r="Q43" s="189"/>
      <c r="R43" s="185" t="s">
        <v>41</v>
      </c>
      <c r="S43" s="185" t="s">
        <v>237</v>
      </c>
      <c r="T43" s="186" t="s">
        <v>228</v>
      </c>
      <c r="U43" s="187" t="s">
        <v>204</v>
      </c>
      <c r="V43" s="187" t="s">
        <v>100</v>
      </c>
      <c r="W43" s="187" t="s">
        <v>205</v>
      </c>
      <c r="X43" s="187" t="s">
        <v>206</v>
      </c>
      <c r="Y43" s="188" t="s">
        <v>27</v>
      </c>
      <c r="Z43" s="188" t="s">
        <v>236</v>
      </c>
    </row>
    <row r="44" spans="1:26" ht="15" thickBot="1" x14ac:dyDescent="0.35">
      <c r="G44" s="252" t="s">
        <v>161</v>
      </c>
      <c r="H44" s="118" t="s">
        <v>239</v>
      </c>
      <c r="I44" s="201" t="s">
        <v>44</v>
      </c>
      <c r="J44" s="137"/>
      <c r="K44" s="137"/>
      <c r="L44" s="137">
        <v>1</v>
      </c>
      <c r="M44" s="137">
        <v>1</v>
      </c>
      <c r="N44" s="153"/>
      <c r="O44" s="156"/>
      <c r="P44" s="156"/>
      <c r="Q44" s="342"/>
      <c r="R44" s="156"/>
      <c r="S44" s="155"/>
      <c r="T44" s="137"/>
      <c r="U44" s="137"/>
      <c r="V44" s="137"/>
      <c r="W44" s="137"/>
      <c r="X44" s="455"/>
      <c r="Y44" s="156"/>
      <c r="Z44" s="156"/>
    </row>
    <row r="45" spans="1:26" ht="15" thickBot="1" x14ac:dyDescent="0.35">
      <c r="C45" s="267" t="s">
        <v>27</v>
      </c>
      <c r="D45" s="267">
        <f>D19-D42</f>
        <v>8.2000000000000011</v>
      </c>
      <c r="G45" s="202" t="s">
        <v>242</v>
      </c>
      <c r="H45" s="227" t="s">
        <v>239</v>
      </c>
      <c r="I45" s="279" t="s">
        <v>343</v>
      </c>
      <c r="J45" s="280"/>
      <c r="K45" s="280"/>
      <c r="L45" s="280">
        <v>1</v>
      </c>
      <c r="M45" s="280">
        <v>1</v>
      </c>
      <c r="N45" s="281"/>
      <c r="O45" s="282"/>
      <c r="P45" s="282"/>
      <c r="Q45" s="296"/>
      <c r="R45" s="282"/>
      <c r="S45" s="456"/>
      <c r="T45" s="280"/>
      <c r="U45" s="280"/>
      <c r="V45" s="280"/>
      <c r="W45" s="280"/>
      <c r="X45" s="457"/>
      <c r="Y45" s="207"/>
      <c r="Z45" s="207"/>
    </row>
    <row r="46" spans="1:26" ht="15" thickTop="1" x14ac:dyDescent="0.3">
      <c r="G46" s="202">
        <f>SUM(H46:H56)</f>
        <v>11</v>
      </c>
      <c r="H46" s="228">
        <f t="shared" ref="H46:H56" si="10">MAX(K46:N46)+MAX(U46:X46)</f>
        <v>1</v>
      </c>
      <c r="I46" s="29"/>
      <c r="O46" s="216">
        <f t="shared" ref="O46:O53" si="11">(J46+K46)*$Y$3</f>
        <v>0</v>
      </c>
      <c r="P46" s="211"/>
      <c r="Q46" s="293"/>
      <c r="R46" s="238" t="s">
        <v>469</v>
      </c>
      <c r="S46" s="450" t="s">
        <v>325</v>
      </c>
      <c r="T46" s="416"/>
      <c r="U46" s="416"/>
      <c r="V46" s="416">
        <v>1</v>
      </c>
      <c r="W46" s="416">
        <v>1</v>
      </c>
      <c r="X46" s="254"/>
      <c r="Y46" s="216">
        <f t="shared" ref="Y46:Y56" si="12">(T46+U46)*$Y$3</f>
        <v>0</v>
      </c>
      <c r="Z46" s="216"/>
    </row>
    <row r="47" spans="1:26" x14ac:dyDescent="0.3">
      <c r="G47" s="255"/>
      <c r="H47" s="228">
        <f t="shared" si="10"/>
        <v>1</v>
      </c>
      <c r="I47" s="57"/>
      <c r="J47" s="266"/>
      <c r="K47" s="266"/>
      <c r="L47" s="266"/>
      <c r="M47" s="266"/>
      <c r="N47" s="266"/>
      <c r="O47" s="216">
        <f t="shared" si="11"/>
        <v>0</v>
      </c>
      <c r="P47" s="216"/>
      <c r="Q47" s="293"/>
      <c r="R47" s="255" t="s">
        <v>452</v>
      </c>
      <c r="S47" s="450" t="s">
        <v>325</v>
      </c>
      <c r="T47" s="253"/>
      <c r="U47" s="253"/>
      <c r="V47" s="253">
        <v>1</v>
      </c>
      <c r="W47" s="259">
        <v>1</v>
      </c>
      <c r="X47" s="254"/>
      <c r="Y47" s="216">
        <f t="shared" si="12"/>
        <v>0</v>
      </c>
      <c r="Z47" s="216"/>
    </row>
    <row r="48" spans="1:26" x14ac:dyDescent="0.3">
      <c r="G48" s="255"/>
      <c r="H48" s="228">
        <f t="shared" si="10"/>
        <v>1</v>
      </c>
      <c r="I48" s="57" t="s">
        <v>334</v>
      </c>
      <c r="J48" s="266"/>
      <c r="K48" s="266"/>
      <c r="L48" s="266">
        <v>1</v>
      </c>
      <c r="M48" s="266">
        <v>1</v>
      </c>
      <c r="N48" s="266"/>
      <c r="O48" s="216">
        <f t="shared" si="11"/>
        <v>0</v>
      </c>
      <c r="P48" s="216"/>
      <c r="Q48" s="293"/>
      <c r="R48" s="255"/>
      <c r="S48" s="450"/>
      <c r="T48" s="253"/>
      <c r="U48" s="253"/>
      <c r="V48" s="253"/>
      <c r="W48" s="259"/>
      <c r="X48" s="254"/>
      <c r="Y48" s="216">
        <f t="shared" si="12"/>
        <v>0</v>
      </c>
      <c r="Z48" s="216"/>
    </row>
    <row r="49" spans="3:26" x14ac:dyDescent="0.3">
      <c r="G49" s="255"/>
      <c r="H49" s="228">
        <f t="shared" si="10"/>
        <v>2</v>
      </c>
      <c r="I49" s="57" t="s">
        <v>316</v>
      </c>
      <c r="J49" s="266"/>
      <c r="K49" s="266"/>
      <c r="L49" s="266">
        <v>1</v>
      </c>
      <c r="M49" s="266"/>
      <c r="N49" s="266"/>
      <c r="O49" s="216">
        <f t="shared" si="11"/>
        <v>0</v>
      </c>
      <c r="P49" s="216"/>
      <c r="Q49" s="293"/>
      <c r="R49" s="238" t="s">
        <v>246</v>
      </c>
      <c r="S49" s="450" t="s">
        <v>531</v>
      </c>
      <c r="T49" s="416"/>
      <c r="U49" s="416">
        <v>1</v>
      </c>
      <c r="V49" s="416">
        <v>1</v>
      </c>
      <c r="W49" s="416">
        <v>1</v>
      </c>
      <c r="X49" s="254"/>
      <c r="Y49" s="216">
        <f t="shared" si="12"/>
        <v>0.5</v>
      </c>
      <c r="Z49" s="216"/>
    </row>
    <row r="50" spans="3:26" x14ac:dyDescent="0.3">
      <c r="G50" s="255"/>
      <c r="H50" s="228">
        <f t="shared" si="10"/>
        <v>1</v>
      </c>
      <c r="I50" s="57" t="s">
        <v>384</v>
      </c>
      <c r="J50" s="266"/>
      <c r="K50" s="266"/>
      <c r="L50" s="266"/>
      <c r="M50" s="266">
        <v>1</v>
      </c>
      <c r="N50" s="266"/>
      <c r="O50" s="216">
        <f t="shared" si="11"/>
        <v>0</v>
      </c>
      <c r="P50" s="216"/>
      <c r="Q50" s="293"/>
      <c r="R50" s="255"/>
      <c r="S50" s="450"/>
      <c r="T50" s="253"/>
      <c r="U50" s="253"/>
      <c r="V50" s="253"/>
      <c r="W50" s="259"/>
      <c r="X50" s="254"/>
      <c r="Y50" s="216">
        <f t="shared" si="12"/>
        <v>0</v>
      </c>
      <c r="Z50" s="216"/>
    </row>
    <row r="51" spans="3:26" x14ac:dyDescent="0.3">
      <c r="G51" s="255"/>
      <c r="H51" s="228">
        <f t="shared" si="10"/>
        <v>1</v>
      </c>
      <c r="I51" s="57"/>
      <c r="J51" s="266"/>
      <c r="K51" s="266"/>
      <c r="L51" s="266"/>
      <c r="M51" s="266"/>
      <c r="N51" s="266"/>
      <c r="O51" s="216">
        <f t="shared" si="11"/>
        <v>0</v>
      </c>
      <c r="P51" s="216"/>
      <c r="Q51" s="293"/>
      <c r="R51" s="255" t="s">
        <v>404</v>
      </c>
      <c r="S51" s="449" t="s">
        <v>143</v>
      </c>
      <c r="T51" s="253"/>
      <c r="U51" s="253">
        <v>1</v>
      </c>
      <c r="V51" s="253">
        <v>1</v>
      </c>
      <c r="W51" s="259"/>
      <c r="X51" s="254"/>
      <c r="Y51" s="216">
        <f t="shared" si="12"/>
        <v>0.5</v>
      </c>
      <c r="Z51" s="216"/>
    </row>
    <row r="52" spans="3:26" x14ac:dyDescent="0.3">
      <c r="G52" s="255"/>
      <c r="H52" s="228">
        <f t="shared" si="10"/>
        <v>1</v>
      </c>
      <c r="I52" s="443"/>
      <c r="J52" s="256"/>
      <c r="K52" s="256"/>
      <c r="L52" s="256"/>
      <c r="M52" s="256"/>
      <c r="N52" s="266"/>
      <c r="O52" s="216">
        <f t="shared" si="11"/>
        <v>0</v>
      </c>
      <c r="P52" s="216"/>
      <c r="Q52" s="293"/>
      <c r="R52" s="255" t="s">
        <v>404</v>
      </c>
      <c r="S52" s="449" t="s">
        <v>423</v>
      </c>
      <c r="T52" s="253"/>
      <c r="U52" s="253">
        <v>1</v>
      </c>
      <c r="V52" s="253"/>
      <c r="W52" s="259"/>
      <c r="X52" s="254"/>
      <c r="Y52" s="216">
        <f t="shared" si="12"/>
        <v>0.5</v>
      </c>
      <c r="Z52" s="216"/>
    </row>
    <row r="53" spans="3:26" x14ac:dyDescent="0.3">
      <c r="G53" s="255"/>
      <c r="H53" s="228">
        <f t="shared" si="10"/>
        <v>2</v>
      </c>
      <c r="I53" s="57"/>
      <c r="J53" s="266"/>
      <c r="K53" s="266"/>
      <c r="L53" s="266"/>
      <c r="M53" s="266"/>
      <c r="N53" s="266"/>
      <c r="O53" s="216">
        <f t="shared" si="11"/>
        <v>0</v>
      </c>
      <c r="P53" s="216"/>
      <c r="Q53" s="293"/>
      <c r="R53" s="255" t="s">
        <v>397</v>
      </c>
      <c r="S53" s="449" t="s">
        <v>398</v>
      </c>
      <c r="T53" s="253"/>
      <c r="U53" s="253">
        <v>2</v>
      </c>
      <c r="V53" s="253"/>
      <c r="W53" s="259"/>
      <c r="X53" s="254"/>
      <c r="Y53" s="216">
        <f t="shared" si="12"/>
        <v>1</v>
      </c>
      <c r="Z53" s="216"/>
    </row>
    <row r="54" spans="3:26" x14ac:dyDescent="0.3">
      <c r="G54" s="255"/>
      <c r="H54" s="228">
        <f t="shared" si="10"/>
        <v>0</v>
      </c>
      <c r="I54" s="57"/>
      <c r="J54" s="266"/>
      <c r="K54" s="266"/>
      <c r="L54" s="266"/>
      <c r="M54" s="266"/>
      <c r="N54" s="266"/>
      <c r="O54" s="216">
        <f>(J54+K54)*$Y$3</f>
        <v>0</v>
      </c>
      <c r="P54" s="216"/>
      <c r="Q54" s="293"/>
      <c r="R54" s="265"/>
      <c r="S54" s="259"/>
      <c r="T54" s="259"/>
      <c r="U54" s="259"/>
      <c r="V54" s="259"/>
      <c r="W54" s="259"/>
      <c r="X54" s="254"/>
      <c r="Y54" s="216">
        <f t="shared" si="12"/>
        <v>0</v>
      </c>
      <c r="Z54" s="216"/>
    </row>
    <row r="55" spans="3:26" x14ac:dyDescent="0.3">
      <c r="G55" s="255"/>
      <c r="H55" s="228">
        <f>MAX(K55:N55)+MAX(U55:X55)</f>
        <v>1</v>
      </c>
      <c r="I55" s="57"/>
      <c r="J55" s="266"/>
      <c r="K55" s="266"/>
      <c r="L55" s="266"/>
      <c r="M55" s="266"/>
      <c r="N55" s="266"/>
      <c r="O55" s="216">
        <f>(J55+K55)*$Y$3</f>
        <v>0</v>
      </c>
      <c r="P55" s="216"/>
      <c r="Q55" s="293"/>
      <c r="R55" s="255" t="s">
        <v>319</v>
      </c>
      <c r="S55" s="449" t="s">
        <v>396</v>
      </c>
      <c r="U55" s="253">
        <v>1</v>
      </c>
      <c r="V55" s="253"/>
      <c r="W55" s="259"/>
      <c r="X55" s="254"/>
      <c r="Y55" s="216">
        <f t="shared" si="12"/>
        <v>0.5</v>
      </c>
      <c r="Z55" s="216"/>
    </row>
    <row r="56" spans="3:26" ht="15" thickBot="1" x14ac:dyDescent="0.35">
      <c r="G56" s="260"/>
      <c r="H56" s="228">
        <f t="shared" si="10"/>
        <v>0</v>
      </c>
      <c r="I56" s="81"/>
      <c r="J56" s="269"/>
      <c r="K56" s="269"/>
      <c r="L56" s="269"/>
      <c r="M56" s="269"/>
      <c r="N56" s="269"/>
      <c r="O56" s="216">
        <f>(J56+K56)*$Y$3</f>
        <v>0</v>
      </c>
      <c r="P56" s="216"/>
      <c r="Q56" s="296"/>
      <c r="R56" s="268"/>
      <c r="S56" s="269"/>
      <c r="T56" s="269"/>
      <c r="U56" s="269"/>
      <c r="V56" s="269"/>
      <c r="W56" s="269"/>
      <c r="X56" s="262"/>
      <c r="Y56" s="232">
        <f t="shared" si="12"/>
        <v>0</v>
      </c>
      <c r="Z56" s="216"/>
    </row>
    <row r="57" spans="3:26" ht="15" thickBot="1" x14ac:dyDescent="0.35">
      <c r="G57" s="250" t="s">
        <v>534</v>
      </c>
      <c r="H57" s="184" t="s">
        <v>69</v>
      </c>
      <c r="I57" s="185" t="s">
        <v>237</v>
      </c>
      <c r="J57" s="186" t="s">
        <v>228</v>
      </c>
      <c r="K57" s="187" t="s">
        <v>204</v>
      </c>
      <c r="L57" s="187" t="s">
        <v>100</v>
      </c>
      <c r="M57" s="187" t="s">
        <v>205</v>
      </c>
      <c r="N57" s="187" t="s">
        <v>206</v>
      </c>
      <c r="O57" s="188" t="s">
        <v>27</v>
      </c>
      <c r="P57" s="188" t="s">
        <v>236</v>
      </c>
      <c r="Q57" s="189"/>
      <c r="R57" s="185" t="s">
        <v>41</v>
      </c>
      <c r="S57" s="185" t="s">
        <v>237</v>
      </c>
      <c r="T57" s="186" t="s">
        <v>228</v>
      </c>
      <c r="U57" s="187" t="s">
        <v>204</v>
      </c>
      <c r="V57" s="187" t="s">
        <v>100</v>
      </c>
      <c r="W57" s="187" t="s">
        <v>205</v>
      </c>
      <c r="X57" s="187" t="s">
        <v>206</v>
      </c>
      <c r="Y57" s="188" t="s">
        <v>27</v>
      </c>
      <c r="Z57" s="188" t="s">
        <v>236</v>
      </c>
    </row>
    <row r="58" spans="3:26" ht="15" thickBot="1" x14ac:dyDescent="0.35">
      <c r="C58" s="267"/>
      <c r="D58" s="267"/>
      <c r="G58" s="252" t="s">
        <v>161</v>
      </c>
      <c r="H58" s="118" t="s">
        <v>239</v>
      </c>
      <c r="I58" s="201" t="s">
        <v>44</v>
      </c>
      <c r="J58" s="137"/>
      <c r="K58" s="137"/>
      <c r="L58" s="137"/>
      <c r="M58" s="137"/>
      <c r="N58" s="153"/>
      <c r="O58" s="156"/>
      <c r="P58" s="156"/>
      <c r="Q58" s="342"/>
      <c r="R58" s="156"/>
      <c r="S58" s="155"/>
      <c r="T58" s="137"/>
      <c r="U58" s="137"/>
      <c r="V58" s="137"/>
      <c r="W58" s="137"/>
      <c r="X58" s="455"/>
      <c r="Y58" s="156"/>
      <c r="Z58" s="156"/>
    </row>
    <row r="59" spans="3:26" ht="15.6" thickTop="1" thickBot="1" x14ac:dyDescent="0.35">
      <c r="G59" s="202" t="s">
        <v>242</v>
      </c>
      <c r="H59" s="227" t="s">
        <v>239</v>
      </c>
      <c r="I59" s="279" t="s">
        <v>343</v>
      </c>
      <c r="J59" s="280"/>
      <c r="K59" s="280"/>
      <c r="L59" s="280"/>
      <c r="M59" s="280"/>
      <c r="N59" s="281"/>
      <c r="O59" s="282"/>
      <c r="P59" s="282"/>
      <c r="Q59" s="296"/>
      <c r="R59" s="304"/>
      <c r="S59" s="306"/>
      <c r="T59" s="236"/>
      <c r="U59" s="236"/>
      <c r="V59" s="236"/>
      <c r="W59" s="236"/>
      <c r="X59" s="499"/>
      <c r="Y59" s="207"/>
      <c r="Z59" s="207"/>
    </row>
    <row r="60" spans="3:26" x14ac:dyDescent="0.3">
      <c r="G60" s="202">
        <f>SUM(H60:H75)</f>
        <v>11</v>
      </c>
      <c r="H60" s="228">
        <f t="shared" ref="H60:H69" si="13">MAX(K60:N60)+MAX(U60:X60)</f>
        <v>1</v>
      </c>
      <c r="I60" s="29" t="s">
        <v>32</v>
      </c>
      <c r="N60" s="241">
        <v>1</v>
      </c>
      <c r="O60" s="216">
        <f t="shared" ref="O60:O68" si="14">(J60+K60)*$Y$3</f>
        <v>0</v>
      </c>
      <c r="P60" s="211"/>
      <c r="Q60" s="293"/>
      <c r="R60" s="276" t="s">
        <v>85</v>
      </c>
      <c r="S60" s="569" t="s">
        <v>168</v>
      </c>
      <c r="T60" s="567">
        <v>1</v>
      </c>
      <c r="U60" s="567"/>
      <c r="V60" s="567"/>
      <c r="W60" s="567"/>
      <c r="X60" s="568"/>
      <c r="Y60" s="307">
        <f t="shared" ref="Y60:Y75" si="15">(T60+U60)*$Y$3</f>
        <v>0.5</v>
      </c>
      <c r="Z60" s="216"/>
    </row>
    <row r="61" spans="3:26" x14ac:dyDescent="0.3">
      <c r="G61" s="255"/>
      <c r="H61" s="228">
        <f t="shared" si="13"/>
        <v>1</v>
      </c>
      <c r="I61" s="57"/>
      <c r="J61" s="266"/>
      <c r="K61" s="266"/>
      <c r="L61" s="266"/>
      <c r="M61" s="266"/>
      <c r="N61" s="266"/>
      <c r="O61" s="216">
        <f t="shared" si="14"/>
        <v>0</v>
      </c>
      <c r="P61" s="216"/>
      <c r="Q61" s="293"/>
      <c r="R61" s="43"/>
      <c r="S61" s="65" t="s">
        <v>43</v>
      </c>
      <c r="T61" s="49"/>
      <c r="U61" s="49">
        <v>1</v>
      </c>
      <c r="V61" s="49"/>
      <c r="W61" s="49"/>
      <c r="X61" s="48"/>
      <c r="Y61" s="307">
        <f t="shared" si="15"/>
        <v>0.5</v>
      </c>
      <c r="Z61" s="216"/>
    </row>
    <row r="62" spans="3:26" x14ac:dyDescent="0.3">
      <c r="G62" s="255"/>
      <c r="H62" s="228"/>
      <c r="I62" s="57"/>
      <c r="J62" s="266"/>
      <c r="K62" s="266"/>
      <c r="L62" s="266"/>
      <c r="M62" s="266"/>
      <c r="N62" s="266"/>
      <c r="O62" s="216"/>
      <c r="P62" s="216"/>
      <c r="Q62" s="293"/>
      <c r="R62" s="43"/>
      <c r="S62" s="65" t="s">
        <v>536</v>
      </c>
      <c r="T62" s="49">
        <v>2</v>
      </c>
      <c r="U62" s="49"/>
      <c r="V62" s="49"/>
      <c r="W62" s="49"/>
      <c r="X62" s="48"/>
      <c r="Y62" s="307">
        <f t="shared" si="15"/>
        <v>1</v>
      </c>
      <c r="Z62" s="216"/>
    </row>
    <row r="63" spans="3:26" x14ac:dyDescent="0.3">
      <c r="G63" s="255"/>
      <c r="H63" s="228">
        <f t="shared" si="13"/>
        <v>0</v>
      </c>
      <c r="I63" s="57"/>
      <c r="J63" s="266"/>
      <c r="K63" s="266"/>
      <c r="L63" s="266"/>
      <c r="M63" s="266"/>
      <c r="N63" s="266"/>
      <c r="O63" s="216">
        <f t="shared" si="14"/>
        <v>0</v>
      </c>
      <c r="P63" s="216"/>
      <c r="Q63" s="293"/>
      <c r="R63" s="43"/>
      <c r="S63" s="65" t="s">
        <v>535</v>
      </c>
      <c r="T63" s="49">
        <v>2</v>
      </c>
      <c r="U63" s="49"/>
      <c r="V63" s="49"/>
      <c r="W63" s="49"/>
      <c r="X63" s="48"/>
      <c r="Y63" s="307">
        <f t="shared" si="15"/>
        <v>1</v>
      </c>
      <c r="Z63" s="216"/>
    </row>
    <row r="64" spans="3:26" ht="15" thickBot="1" x14ac:dyDescent="0.35">
      <c r="G64" s="255"/>
      <c r="H64" s="228">
        <f t="shared" si="13"/>
        <v>1</v>
      </c>
      <c r="I64" s="57"/>
      <c r="J64" s="266"/>
      <c r="K64" s="266"/>
      <c r="L64" s="266"/>
      <c r="M64" s="266"/>
      <c r="N64" s="266"/>
      <c r="O64" s="216">
        <f t="shared" si="14"/>
        <v>0</v>
      </c>
      <c r="P64" s="216"/>
      <c r="Q64" s="293"/>
      <c r="R64" s="571"/>
      <c r="S64" s="572" t="s">
        <v>93</v>
      </c>
      <c r="T64" s="565"/>
      <c r="U64" s="565">
        <v>1</v>
      </c>
      <c r="V64" s="565"/>
      <c r="W64" s="565"/>
      <c r="X64" s="566"/>
      <c r="Y64" s="307">
        <f t="shared" si="15"/>
        <v>0.5</v>
      </c>
      <c r="Z64" s="216"/>
    </row>
    <row r="65" spans="7:26" x14ac:dyDescent="0.3">
      <c r="G65" s="255"/>
      <c r="H65" s="228">
        <f t="shared" si="13"/>
        <v>0</v>
      </c>
      <c r="I65" s="57"/>
      <c r="J65" s="266"/>
      <c r="K65" s="266"/>
      <c r="L65" s="266"/>
      <c r="M65" s="266"/>
      <c r="N65" s="266"/>
      <c r="O65" s="216">
        <f t="shared" si="14"/>
        <v>0</v>
      </c>
      <c r="P65" s="216"/>
      <c r="Q65" s="293"/>
      <c r="R65" s="276" t="s">
        <v>211</v>
      </c>
      <c r="S65" s="569" t="s">
        <v>53</v>
      </c>
      <c r="T65" s="567">
        <v>2</v>
      </c>
      <c r="U65" s="567"/>
      <c r="V65" s="567"/>
      <c r="W65" s="567"/>
      <c r="X65" s="568"/>
      <c r="Y65" s="307">
        <f t="shared" si="15"/>
        <v>1</v>
      </c>
      <c r="Z65" s="216"/>
    </row>
    <row r="66" spans="7:26" x14ac:dyDescent="0.3">
      <c r="G66" s="255"/>
      <c r="H66" s="228">
        <f t="shared" si="13"/>
        <v>0</v>
      </c>
      <c r="I66" s="57"/>
      <c r="J66" s="266"/>
      <c r="K66" s="266"/>
      <c r="L66" s="266"/>
      <c r="M66" s="266"/>
      <c r="N66" s="266"/>
      <c r="O66" s="216">
        <f t="shared" si="14"/>
        <v>0</v>
      </c>
      <c r="P66" s="216"/>
      <c r="Q66" s="293"/>
      <c r="R66" s="465"/>
      <c r="S66" s="65" t="s">
        <v>449</v>
      </c>
      <c r="T66" s="66" t="s">
        <v>546</v>
      </c>
      <c r="U66" s="66"/>
      <c r="V66" s="66"/>
      <c r="W66" s="66"/>
      <c r="X66" s="133"/>
      <c r="Y66" s="307"/>
      <c r="Z66" s="216"/>
    </row>
    <row r="67" spans="7:26" x14ac:dyDescent="0.3">
      <c r="G67" s="255"/>
      <c r="H67" s="228">
        <f t="shared" si="13"/>
        <v>1</v>
      </c>
      <c r="I67" s="443"/>
      <c r="J67" s="256"/>
      <c r="K67" s="256"/>
      <c r="L67" s="256"/>
      <c r="M67" s="256"/>
      <c r="N67" s="266"/>
      <c r="O67" s="216">
        <f t="shared" si="14"/>
        <v>0</v>
      </c>
      <c r="P67" s="216"/>
      <c r="Q67" s="293"/>
      <c r="R67" s="465"/>
      <c r="S67" s="65" t="s">
        <v>43</v>
      </c>
      <c r="T67" s="66"/>
      <c r="U67" s="66">
        <v>1</v>
      </c>
      <c r="V67" s="66"/>
      <c r="W67" s="66"/>
      <c r="X67" s="133"/>
      <c r="Y67" s="307">
        <f t="shared" si="15"/>
        <v>0.5</v>
      </c>
      <c r="Z67" s="216"/>
    </row>
    <row r="68" spans="7:26" x14ac:dyDescent="0.3">
      <c r="G68" s="255"/>
      <c r="H68" s="228">
        <f t="shared" si="13"/>
        <v>0</v>
      </c>
      <c r="I68" s="57"/>
      <c r="J68" s="266"/>
      <c r="K68" s="266"/>
      <c r="L68" s="266"/>
      <c r="M68" s="266"/>
      <c r="N68" s="266"/>
      <c r="O68" s="216">
        <f t="shared" si="14"/>
        <v>0</v>
      </c>
      <c r="P68" s="216"/>
      <c r="Q68" s="293"/>
      <c r="R68" s="465"/>
      <c r="S68" s="65" t="s">
        <v>298</v>
      </c>
      <c r="T68" s="66">
        <v>1</v>
      </c>
      <c r="U68" s="66"/>
      <c r="V68" s="66"/>
      <c r="W68" s="66"/>
      <c r="X68" s="133"/>
      <c r="Y68" s="307">
        <f t="shared" si="15"/>
        <v>0.5</v>
      </c>
      <c r="Z68" s="216"/>
    </row>
    <row r="69" spans="7:26" x14ac:dyDescent="0.3">
      <c r="G69" s="255"/>
      <c r="H69" s="228">
        <f t="shared" si="13"/>
        <v>0</v>
      </c>
      <c r="I69" s="57"/>
      <c r="J69" s="266"/>
      <c r="K69" s="266"/>
      <c r="L69" s="266"/>
      <c r="M69" s="266"/>
      <c r="N69" s="266"/>
      <c r="O69" s="216">
        <f>(J69+K69)*$Y$3</f>
        <v>0</v>
      </c>
      <c r="P69" s="216"/>
      <c r="Q69" s="293"/>
      <c r="R69" s="465"/>
      <c r="S69" s="65" t="s">
        <v>545</v>
      </c>
      <c r="T69" s="66">
        <v>4</v>
      </c>
      <c r="U69" s="66"/>
      <c r="V69" s="66"/>
      <c r="W69" s="66"/>
      <c r="X69" s="133"/>
      <c r="Y69" s="307">
        <f t="shared" si="15"/>
        <v>2</v>
      </c>
      <c r="Z69" s="216"/>
    </row>
    <row r="70" spans="7:26" x14ac:dyDescent="0.3">
      <c r="G70" s="255"/>
      <c r="H70" s="228">
        <f>MAX(K70:N70)+MAX(U70:X70)</f>
        <v>1</v>
      </c>
      <c r="I70" s="57"/>
      <c r="J70" s="266"/>
      <c r="K70" s="266"/>
      <c r="L70" s="266"/>
      <c r="M70" s="266"/>
      <c r="N70" s="266"/>
      <c r="O70" s="216">
        <f>(J70+K70)*$Y$3</f>
        <v>0</v>
      </c>
      <c r="P70" s="216"/>
      <c r="Q70" s="293"/>
      <c r="R70" s="465"/>
      <c r="S70" s="65" t="s">
        <v>42</v>
      </c>
      <c r="T70" s="66"/>
      <c r="U70" s="66">
        <v>1</v>
      </c>
      <c r="V70" s="66"/>
      <c r="W70" s="66">
        <v>1</v>
      </c>
      <c r="X70" s="133"/>
      <c r="Y70" s="307">
        <f t="shared" si="15"/>
        <v>0.5</v>
      </c>
      <c r="Z70" s="216"/>
    </row>
    <row r="71" spans="7:26" x14ac:dyDescent="0.3">
      <c r="G71" s="443"/>
      <c r="H71" s="228">
        <f t="shared" ref="H71:H75" si="16">MAX(K71:N71)+MAX(U71:X71)</f>
        <v>1</v>
      </c>
      <c r="I71" s="443"/>
      <c r="J71" s="256"/>
      <c r="K71" s="256"/>
      <c r="L71" s="256"/>
      <c r="M71" s="256"/>
      <c r="N71" s="266"/>
      <c r="O71" s="216">
        <f>(J71+K71)*$Y$3</f>
        <v>0</v>
      </c>
      <c r="P71" s="216"/>
      <c r="Q71" s="293"/>
      <c r="R71" s="43"/>
      <c r="S71" s="570" t="s">
        <v>45</v>
      </c>
      <c r="T71" s="49"/>
      <c r="U71" s="563">
        <v>1</v>
      </c>
      <c r="V71" s="563">
        <v>0</v>
      </c>
      <c r="W71" s="563">
        <v>0</v>
      </c>
      <c r="X71" s="48"/>
      <c r="Y71" s="307">
        <f t="shared" si="15"/>
        <v>0.5</v>
      </c>
      <c r="Z71" s="216"/>
    </row>
    <row r="72" spans="7:26" ht="15" thickBot="1" x14ac:dyDescent="0.35">
      <c r="G72" s="57"/>
      <c r="H72" s="228">
        <f t="shared" si="16"/>
        <v>1</v>
      </c>
      <c r="I72" s="57"/>
      <c r="J72" s="266"/>
      <c r="K72" s="266"/>
      <c r="L72" s="266"/>
      <c r="M72" s="266"/>
      <c r="N72" s="266"/>
      <c r="O72" s="216">
        <f>(J72+K72)*$Y$3</f>
        <v>0</v>
      </c>
      <c r="P72" s="438"/>
      <c r="Q72" s="293"/>
      <c r="R72" s="44"/>
      <c r="S72" s="68" t="s">
        <v>91</v>
      </c>
      <c r="T72" s="33"/>
      <c r="U72" s="564">
        <v>1</v>
      </c>
      <c r="V72" s="564">
        <v>0</v>
      </c>
      <c r="W72" s="564">
        <v>0</v>
      </c>
      <c r="X72" s="470"/>
      <c r="Y72" s="307">
        <f t="shared" si="15"/>
        <v>0.5</v>
      </c>
      <c r="Z72" s="216"/>
    </row>
    <row r="73" spans="7:26" x14ac:dyDescent="0.3">
      <c r="G73" s="57"/>
      <c r="H73" s="228">
        <f t="shared" si="16"/>
        <v>2</v>
      </c>
      <c r="I73" s="57"/>
      <c r="J73" s="266"/>
      <c r="K73" s="266"/>
      <c r="L73" s="266"/>
      <c r="M73" s="266"/>
      <c r="N73" s="266"/>
      <c r="O73" s="438"/>
      <c r="P73" s="438"/>
      <c r="Q73" s="293"/>
      <c r="R73" s="574" t="s">
        <v>452</v>
      </c>
      <c r="S73" s="256" t="s">
        <v>539</v>
      </c>
      <c r="T73" s="416"/>
      <c r="U73" s="241">
        <v>2</v>
      </c>
      <c r="V73" s="253"/>
      <c r="W73" s="253"/>
      <c r="X73" s="254"/>
      <c r="Y73" s="216">
        <f t="shared" si="15"/>
        <v>1</v>
      </c>
      <c r="Z73" s="216"/>
    </row>
    <row r="74" spans="7:26" x14ac:dyDescent="0.3">
      <c r="G74" s="57"/>
      <c r="H74" s="228">
        <f t="shared" si="16"/>
        <v>2</v>
      </c>
      <c r="I74" s="57"/>
      <c r="J74" s="266"/>
      <c r="K74" s="266"/>
      <c r="L74" s="266"/>
      <c r="M74" s="266"/>
      <c r="N74" s="266"/>
      <c r="O74" s="438"/>
      <c r="P74" s="438"/>
      <c r="Q74" s="293"/>
      <c r="R74" s="238" t="s">
        <v>464</v>
      </c>
      <c r="S74" s="416" t="s">
        <v>470</v>
      </c>
      <c r="T74" s="416"/>
      <c r="U74" s="416">
        <v>2</v>
      </c>
      <c r="V74" s="416"/>
      <c r="W74" s="259"/>
      <c r="X74" s="254"/>
      <c r="Y74" s="216">
        <f t="shared" si="15"/>
        <v>1</v>
      </c>
      <c r="Z74" s="216"/>
    </row>
    <row r="75" spans="7:26" ht="15" thickBot="1" x14ac:dyDescent="0.35">
      <c r="G75" s="57"/>
      <c r="H75" s="228">
        <f t="shared" si="16"/>
        <v>0</v>
      </c>
      <c r="I75" s="57"/>
      <c r="J75" s="266"/>
      <c r="K75" s="266"/>
      <c r="L75" s="266"/>
      <c r="M75" s="266"/>
      <c r="N75" s="266"/>
      <c r="O75" s="438"/>
      <c r="P75" s="438"/>
      <c r="Q75" s="293"/>
      <c r="R75" s="260"/>
      <c r="S75" s="261"/>
      <c r="T75" s="261"/>
      <c r="U75" s="261"/>
      <c r="V75" s="261"/>
      <c r="W75" s="261"/>
      <c r="X75" s="262"/>
      <c r="Y75" s="216">
        <f t="shared" si="15"/>
        <v>0</v>
      </c>
      <c r="Z75" s="216"/>
    </row>
    <row r="76" spans="7:26" ht="15" thickBot="1" x14ac:dyDescent="0.35">
      <c r="G76" s="250" t="s">
        <v>248</v>
      </c>
      <c r="H76" s="184" t="s">
        <v>69</v>
      </c>
      <c r="I76" s="185" t="s">
        <v>237</v>
      </c>
      <c r="J76" s="186" t="s">
        <v>228</v>
      </c>
      <c r="K76" s="187" t="s">
        <v>204</v>
      </c>
      <c r="L76" s="187" t="s">
        <v>100</v>
      </c>
      <c r="M76" s="187" t="s">
        <v>205</v>
      </c>
      <c r="N76" s="187" t="s">
        <v>206</v>
      </c>
      <c r="O76" s="188" t="s">
        <v>27</v>
      </c>
      <c r="P76" s="188" t="s">
        <v>236</v>
      </c>
      <c r="Q76" s="189"/>
      <c r="R76" s="291" t="s">
        <v>41</v>
      </c>
      <c r="S76" s="251" t="s">
        <v>237</v>
      </c>
      <c r="T76" s="292" t="s">
        <v>228</v>
      </c>
      <c r="U76" s="143" t="s">
        <v>204</v>
      </c>
      <c r="V76" s="143" t="s">
        <v>100</v>
      </c>
      <c r="W76" s="143" t="s">
        <v>205</v>
      </c>
      <c r="X76" s="143" t="s">
        <v>206</v>
      </c>
      <c r="Y76" s="188" t="s">
        <v>27</v>
      </c>
      <c r="Z76" s="188" t="s">
        <v>236</v>
      </c>
    </row>
    <row r="77" spans="7:26" x14ac:dyDescent="0.3">
      <c r="G77" s="270" t="s">
        <v>547</v>
      </c>
      <c r="H77" s="231">
        <f t="shared" ref="H77:H82" si="17">MAX(K77:N77)+MAX(U77:X77)</f>
        <v>2</v>
      </c>
      <c r="I77" s="29"/>
      <c r="O77" s="211">
        <f t="shared" ref="O77:O82" si="18">(J77+K77)*$Y$3</f>
        <v>0</v>
      </c>
      <c r="P77" s="211"/>
      <c r="Q77" s="293"/>
      <c r="R77" s="574" t="s">
        <v>548</v>
      </c>
      <c r="S77" s="507" t="s">
        <v>549</v>
      </c>
      <c r="T77" s="507">
        <v>1</v>
      </c>
      <c r="U77" s="507">
        <v>2</v>
      </c>
      <c r="V77" s="507"/>
      <c r="W77" s="274"/>
      <c r="X77" s="272"/>
      <c r="Y77" s="288">
        <f t="shared" ref="Y77:Y82" si="19">(T77+U77)*$Y$3</f>
        <v>1.5</v>
      </c>
      <c r="Z77" s="211"/>
    </row>
    <row r="78" spans="7:26" ht="15" thickBot="1" x14ac:dyDescent="0.35">
      <c r="G78" s="273" t="s">
        <v>173</v>
      </c>
      <c r="H78" s="225">
        <f t="shared" si="17"/>
        <v>0</v>
      </c>
      <c r="I78" s="303"/>
      <c r="J78" s="269"/>
      <c r="K78" s="269"/>
      <c r="L78" s="269"/>
      <c r="M78" s="269"/>
      <c r="N78" s="269"/>
      <c r="O78" s="232">
        <f t="shared" si="18"/>
        <v>0</v>
      </c>
      <c r="P78" s="232"/>
      <c r="Q78" s="296"/>
      <c r="R78" s="260"/>
      <c r="S78" s="261"/>
      <c r="T78" s="261"/>
      <c r="U78" s="261"/>
      <c r="V78" s="261"/>
      <c r="W78" s="261"/>
      <c r="X78" s="262"/>
      <c r="Y78" s="289">
        <f t="shared" si="19"/>
        <v>0</v>
      </c>
      <c r="Z78" s="232"/>
    </row>
    <row r="79" spans="7:26" x14ac:dyDescent="0.3">
      <c r="G79" s="270" t="s">
        <v>251</v>
      </c>
      <c r="H79" s="231">
        <f t="shared" si="17"/>
        <v>0</v>
      </c>
      <c r="I79" s="93"/>
      <c r="J79" s="271"/>
      <c r="K79" s="271"/>
      <c r="L79" s="271"/>
      <c r="M79" s="271"/>
      <c r="N79" s="271"/>
      <c r="O79" s="233">
        <f t="shared" si="18"/>
        <v>0</v>
      </c>
      <c r="P79" s="233"/>
      <c r="Q79" s="200"/>
      <c r="R79" s="29"/>
      <c r="S79" s="29"/>
      <c r="Y79" s="233">
        <f t="shared" si="19"/>
        <v>0</v>
      </c>
      <c r="Z79" s="233"/>
    </row>
    <row r="80" spans="7:26" ht="15" thickBot="1" x14ac:dyDescent="0.35">
      <c r="G80" s="275" t="s">
        <v>173</v>
      </c>
      <c r="H80" s="225">
        <f t="shared" si="17"/>
        <v>0</v>
      </c>
      <c r="I80" s="30"/>
      <c r="J80" s="261"/>
      <c r="K80" s="261"/>
      <c r="L80" s="261"/>
      <c r="M80" s="261"/>
      <c r="N80" s="261"/>
      <c r="O80" s="232">
        <f t="shared" si="18"/>
        <v>0</v>
      </c>
      <c r="P80" s="232"/>
      <c r="Q80" s="226"/>
      <c r="R80" s="30"/>
      <c r="S80" s="30"/>
      <c r="T80" s="261"/>
      <c r="U80" s="261"/>
      <c r="V80" s="261"/>
      <c r="W80" s="261"/>
      <c r="X80" s="261"/>
      <c r="Y80" s="232">
        <f t="shared" si="19"/>
        <v>0</v>
      </c>
      <c r="Z80" s="232"/>
    </row>
    <row r="81" spans="7:26" x14ac:dyDescent="0.3">
      <c r="G81" s="270" t="s">
        <v>251</v>
      </c>
      <c r="H81" s="231">
        <f t="shared" si="17"/>
        <v>0</v>
      </c>
      <c r="I81" s="93"/>
      <c r="J81" s="271"/>
      <c r="K81" s="271"/>
      <c r="L81" s="271"/>
      <c r="M81" s="271"/>
      <c r="N81" s="271"/>
      <c r="O81" s="233">
        <f t="shared" si="18"/>
        <v>0</v>
      </c>
      <c r="P81" s="233"/>
      <c r="Q81" s="200"/>
      <c r="R81" s="29"/>
      <c r="S81" s="29"/>
      <c r="Y81" s="233">
        <f t="shared" si="19"/>
        <v>0</v>
      </c>
      <c r="Z81" s="233"/>
    </row>
    <row r="82" spans="7:26" ht="15" thickBot="1" x14ac:dyDescent="0.35">
      <c r="G82" s="275" t="s">
        <v>173</v>
      </c>
      <c r="H82" s="225">
        <f t="shared" si="17"/>
        <v>0</v>
      </c>
      <c r="I82" s="30"/>
      <c r="J82" s="261"/>
      <c r="K82" s="261"/>
      <c r="L82" s="261"/>
      <c r="M82" s="261"/>
      <c r="N82" s="261"/>
      <c r="O82" s="232">
        <f t="shared" si="18"/>
        <v>0</v>
      </c>
      <c r="P82" s="232"/>
      <c r="Q82" s="226"/>
      <c r="R82" s="30"/>
      <c r="S82" s="30"/>
      <c r="T82" s="261"/>
      <c r="U82" s="261"/>
      <c r="V82" s="261"/>
      <c r="W82" s="261"/>
      <c r="X82" s="261"/>
      <c r="Y82" s="232">
        <f t="shared" si="19"/>
        <v>0</v>
      </c>
      <c r="Z82" s="232"/>
    </row>
    <row r="83" spans="7:26" x14ac:dyDescent="0.3">
      <c r="H83" s="241"/>
    </row>
    <row r="84" spans="7:26" x14ac:dyDescent="0.3">
      <c r="H84" s="241"/>
    </row>
    <row r="85" spans="7:26" x14ac:dyDescent="0.3">
      <c r="H85" s="241"/>
    </row>
    <row r="86" spans="7:26" x14ac:dyDescent="0.3">
      <c r="H86" s="241"/>
    </row>
    <row r="87" spans="7:26" x14ac:dyDescent="0.3">
      <c r="H87" s="241"/>
    </row>
    <row r="88" spans="7:26" x14ac:dyDescent="0.3">
      <c r="H88" s="241"/>
    </row>
    <row r="89" spans="7:26" x14ac:dyDescent="0.3">
      <c r="H89" s="241"/>
    </row>
  </sheetData>
  <mergeCells count="1">
    <mergeCell ref="T4:U4"/>
  </mergeCells>
  <conditionalFormatting sqref="D2">
    <cfRule type="cellIs" dxfId="14" priority="7" operator="lessThan">
      <formula>0</formula>
    </cfRule>
    <cfRule type="cellIs" dxfId="13" priority="8" operator="equal">
      <formula>0</formula>
    </cfRule>
    <cfRule type="cellIs" dxfId="12" priority="9" operator="greaterThan">
      <formula>0</formula>
    </cfRule>
  </conditionalFormatting>
  <conditionalFormatting sqref="D58">
    <cfRule type="cellIs" dxfId="11" priority="4" operator="equal">
      <formula>0</formula>
    </cfRule>
    <cfRule type="cellIs" dxfId="10" priority="5" operator="lessThan">
      <formula>0</formula>
    </cfRule>
    <cfRule type="cellIs" dxfId="9" priority="6" operator="greaterThan">
      <formula>0</formula>
    </cfRule>
  </conditionalFormatting>
  <conditionalFormatting sqref="D45">
    <cfRule type="cellIs" dxfId="8" priority="1" operator="equal">
      <formula>0</formula>
    </cfRule>
    <cfRule type="cellIs" dxfId="7" priority="2" operator="lessThan">
      <formula>0</formula>
    </cfRule>
    <cfRule type="cellIs" dxfId="6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B1D7C2"/>
  </sheetPr>
  <dimension ref="A1:Z54"/>
  <sheetViews>
    <sheetView topLeftCell="A3" zoomScale="68" zoomScaleNormal="68" workbookViewId="0">
      <selection activeCell="G13" sqref="G13"/>
    </sheetView>
  </sheetViews>
  <sheetFormatPr defaultColWidth="9.109375" defaultRowHeight="14.4" x14ac:dyDescent="0.3"/>
  <cols>
    <col min="1" max="1" width="9.109375" style="241"/>
    <col min="2" max="2" width="10.6640625" style="241" customWidth="1"/>
    <col min="3" max="3" width="18.109375" style="241" customWidth="1"/>
    <col min="4" max="4" width="9.109375" style="241"/>
    <col min="5" max="6" width="4.109375" style="241" customWidth="1"/>
    <col min="7" max="7" width="19" style="241" customWidth="1"/>
    <col min="8" max="8" width="5.5546875" style="52" customWidth="1"/>
    <col min="9" max="9" width="27.5546875" style="241" customWidth="1"/>
    <col min="10" max="10" width="5.88671875" style="241" customWidth="1"/>
    <col min="11" max="11" width="6.44140625" style="241" customWidth="1"/>
    <col min="12" max="12" width="6.5546875" style="241" customWidth="1"/>
    <col min="13" max="13" width="6.44140625" style="241" customWidth="1"/>
    <col min="14" max="14" width="6.109375" style="241" customWidth="1"/>
    <col min="15" max="15" width="9.109375" style="241"/>
    <col min="16" max="16" width="6.33203125" style="241" customWidth="1"/>
    <col min="17" max="17" width="3.44140625" style="241" customWidth="1"/>
    <col min="18" max="18" width="17.5546875" style="241" customWidth="1"/>
    <col min="19" max="19" width="20" style="241" customWidth="1"/>
    <col min="20" max="24" width="6" style="241" customWidth="1"/>
    <col min="25" max="25" width="9.109375" style="241"/>
    <col min="26" max="26" width="6.5546875" style="241" customWidth="1"/>
    <col min="27" max="16384" width="9.109375" style="241"/>
  </cols>
  <sheetData>
    <row r="1" spans="1:26" ht="15" thickBot="1" x14ac:dyDescent="0.35"/>
    <row r="2" spans="1:26" ht="15" thickBot="1" x14ac:dyDescent="0.35">
      <c r="C2" s="300" t="s">
        <v>28</v>
      </c>
      <c r="D2" s="300">
        <f>SUM(D3:D5)</f>
        <v>11.3</v>
      </c>
      <c r="I2" s="243" t="s">
        <v>33</v>
      </c>
      <c r="J2" s="244">
        <f t="shared" ref="J2:P2" si="0">J6+T6</f>
        <v>3</v>
      </c>
      <c r="K2" s="244">
        <f t="shared" si="0"/>
        <v>12</v>
      </c>
      <c r="L2" s="244">
        <f t="shared" si="0"/>
        <v>11</v>
      </c>
      <c r="M2" s="244">
        <f t="shared" si="0"/>
        <v>11</v>
      </c>
      <c r="N2" s="244">
        <f t="shared" si="0"/>
        <v>5</v>
      </c>
      <c r="O2" s="244">
        <f t="shared" si="0"/>
        <v>7.5</v>
      </c>
      <c r="P2" s="244">
        <f t="shared" si="0"/>
        <v>0</v>
      </c>
      <c r="W2" s="168" t="s">
        <v>229</v>
      </c>
      <c r="X2" s="169"/>
      <c r="Y2" s="170">
        <v>0.2</v>
      </c>
      <c r="Z2" s="171"/>
    </row>
    <row r="3" spans="1:26" ht="15" thickBot="1" x14ac:dyDescent="0.35">
      <c r="C3" s="245" t="s">
        <v>285</v>
      </c>
      <c r="D3" s="245">
        <f>D40</f>
        <v>6.5</v>
      </c>
      <c r="W3" s="172" t="s">
        <v>227</v>
      </c>
      <c r="X3" s="173"/>
      <c r="Y3" s="174">
        <v>0.5</v>
      </c>
    </row>
    <row r="4" spans="1:26" ht="15" thickBot="1" x14ac:dyDescent="0.35">
      <c r="C4" s="245" t="s">
        <v>286</v>
      </c>
      <c r="D4" s="245">
        <f>Y6</f>
        <v>4</v>
      </c>
      <c r="I4" s="246" t="s">
        <v>15</v>
      </c>
      <c r="J4" s="246"/>
      <c r="K4" s="246"/>
      <c r="Q4" s="99"/>
      <c r="R4" s="247" t="s">
        <v>11</v>
      </c>
      <c r="S4" s="247"/>
      <c r="T4" s="587" t="s">
        <v>10</v>
      </c>
      <c r="U4" s="587"/>
    </row>
    <row r="5" spans="1:26" ht="15.6" thickTop="1" thickBot="1" x14ac:dyDescent="0.35">
      <c r="C5" s="245" t="s">
        <v>155</v>
      </c>
      <c r="D5" s="245">
        <v>0.8</v>
      </c>
      <c r="G5" s="175" t="s">
        <v>235</v>
      </c>
      <c r="H5" s="176">
        <f>SUM(H8:H58)</f>
        <v>22</v>
      </c>
      <c r="I5" s="246" t="s">
        <v>8</v>
      </c>
      <c r="J5" s="177" t="s">
        <v>228</v>
      </c>
      <c r="K5" s="248" t="s">
        <v>204</v>
      </c>
      <c r="L5" s="248" t="s">
        <v>100</v>
      </c>
      <c r="M5" s="248" t="s">
        <v>205</v>
      </c>
      <c r="N5" s="248" t="s">
        <v>206</v>
      </c>
      <c r="O5" s="248" t="s">
        <v>27</v>
      </c>
      <c r="P5" s="248" t="s">
        <v>236</v>
      </c>
      <c r="Q5" s="99"/>
      <c r="R5" s="247" t="s">
        <v>8</v>
      </c>
      <c r="S5" s="247"/>
      <c r="T5" s="178" t="s">
        <v>228</v>
      </c>
      <c r="U5" s="249" t="s">
        <v>204</v>
      </c>
      <c r="V5" s="249" t="s">
        <v>100</v>
      </c>
      <c r="W5" s="249" t="s">
        <v>205</v>
      </c>
      <c r="X5" s="249" t="s">
        <v>206</v>
      </c>
      <c r="Y5" s="249" t="s">
        <v>27</v>
      </c>
      <c r="Z5" s="248" t="s">
        <v>236</v>
      </c>
    </row>
    <row r="6" spans="1:26" ht="15" thickBot="1" x14ac:dyDescent="0.35">
      <c r="A6" s="179"/>
      <c r="B6" s="274" t="s">
        <v>0</v>
      </c>
      <c r="C6" s="274" t="s">
        <v>4</v>
      </c>
      <c r="D6" s="272" t="s">
        <v>5</v>
      </c>
      <c r="G6" s="180" t="s">
        <v>213</v>
      </c>
      <c r="H6" s="181">
        <f>H5*50</f>
        <v>1100</v>
      </c>
      <c r="J6" s="244">
        <f t="shared" ref="J6:O6" si="1">SUM(J10:J116)</f>
        <v>3</v>
      </c>
      <c r="K6" s="244">
        <f t="shared" si="1"/>
        <v>4</v>
      </c>
      <c r="L6" s="244">
        <f t="shared" si="1"/>
        <v>11</v>
      </c>
      <c r="M6" s="244">
        <f t="shared" si="1"/>
        <v>10</v>
      </c>
      <c r="N6" s="244">
        <f t="shared" si="1"/>
        <v>5</v>
      </c>
      <c r="O6" s="244">
        <f t="shared" si="1"/>
        <v>3.5</v>
      </c>
      <c r="P6" s="244"/>
      <c r="Q6" s="99"/>
      <c r="T6" s="244">
        <f t="shared" ref="T6:Y6" si="2">SUM(T14:T116)</f>
        <v>0</v>
      </c>
      <c r="U6" s="244">
        <f t="shared" si="2"/>
        <v>8</v>
      </c>
      <c r="V6" s="244">
        <f t="shared" si="2"/>
        <v>0</v>
      </c>
      <c r="W6" s="244">
        <f t="shared" si="2"/>
        <v>1</v>
      </c>
      <c r="X6" s="244">
        <f t="shared" si="2"/>
        <v>0</v>
      </c>
      <c r="Y6" s="244">
        <f t="shared" si="2"/>
        <v>4</v>
      </c>
      <c r="Z6" s="244"/>
    </row>
    <row r="7" spans="1:26" ht="15.6" thickTop="1" thickBot="1" x14ac:dyDescent="0.35">
      <c r="A7" s="182"/>
      <c r="B7" s="241" t="s">
        <v>268</v>
      </c>
      <c r="C7" s="241" t="s">
        <v>99</v>
      </c>
      <c r="D7" s="254">
        <v>10</v>
      </c>
      <c r="Q7" s="99"/>
    </row>
    <row r="8" spans="1:26" ht="15" thickBot="1" x14ac:dyDescent="0.35">
      <c r="A8" s="29"/>
      <c r="B8" s="241" t="s">
        <v>351</v>
      </c>
      <c r="C8" s="241" t="s">
        <v>100</v>
      </c>
      <c r="D8" s="254">
        <v>10</v>
      </c>
      <c r="G8" s="183" t="s">
        <v>136</v>
      </c>
      <c r="H8" s="184" t="s">
        <v>69</v>
      </c>
      <c r="I8" s="185" t="s">
        <v>237</v>
      </c>
      <c r="J8" s="186" t="s">
        <v>228</v>
      </c>
      <c r="K8" s="187" t="s">
        <v>204</v>
      </c>
      <c r="L8" s="187" t="s">
        <v>100</v>
      </c>
      <c r="M8" s="187" t="s">
        <v>205</v>
      </c>
      <c r="N8" s="187" t="s">
        <v>206</v>
      </c>
      <c r="O8" s="188" t="s">
        <v>27</v>
      </c>
      <c r="P8" s="188" t="s">
        <v>236</v>
      </c>
      <c r="Q8" s="189"/>
      <c r="R8" s="185" t="s">
        <v>41</v>
      </c>
      <c r="S8" s="185" t="s">
        <v>237</v>
      </c>
      <c r="T8" s="186" t="s">
        <v>228</v>
      </c>
      <c r="U8" s="187" t="s">
        <v>204</v>
      </c>
      <c r="V8" s="187" t="s">
        <v>100</v>
      </c>
      <c r="W8" s="187" t="s">
        <v>205</v>
      </c>
      <c r="X8" s="187" t="s">
        <v>206</v>
      </c>
      <c r="Y8" s="188" t="s">
        <v>27</v>
      </c>
      <c r="Z8" s="188" t="s">
        <v>236</v>
      </c>
    </row>
    <row r="9" spans="1:26" ht="15" thickBot="1" x14ac:dyDescent="0.35">
      <c r="A9" s="29"/>
      <c r="B9" s="241" t="s">
        <v>361</v>
      </c>
      <c r="C9" s="241" t="s">
        <v>359</v>
      </c>
      <c r="D9" s="254">
        <v>8</v>
      </c>
      <c r="G9" s="264" t="s">
        <v>238</v>
      </c>
      <c r="H9" s="190" t="s">
        <v>239</v>
      </c>
      <c r="I9" s="461" t="s">
        <v>410</v>
      </c>
      <c r="J9" s="192"/>
      <c r="K9" s="192"/>
      <c r="L9" s="192"/>
      <c r="M9" s="192"/>
      <c r="N9" s="193"/>
      <c r="O9" s="194"/>
      <c r="P9" s="194"/>
      <c r="Q9" s="195"/>
      <c r="R9" s="191"/>
      <c r="S9" s="461" t="s">
        <v>410</v>
      </c>
      <c r="T9" s="192"/>
      <c r="U9" s="192"/>
      <c r="V9" s="192"/>
      <c r="W9" s="192"/>
      <c r="X9" s="193"/>
      <c r="Y9" s="194"/>
      <c r="Z9" s="194"/>
    </row>
    <row r="10" spans="1:26" x14ac:dyDescent="0.3">
      <c r="A10" s="29"/>
      <c r="D10" s="254"/>
      <c r="G10" s="255" t="s">
        <v>240</v>
      </c>
      <c r="H10" s="196" t="s">
        <v>239</v>
      </c>
      <c r="I10" s="197"/>
      <c r="J10" s="26"/>
      <c r="K10" s="26"/>
      <c r="L10" s="26"/>
      <c r="M10" s="26"/>
      <c r="N10" s="39"/>
      <c r="O10" s="198"/>
      <c r="P10" s="198"/>
      <c r="Q10" s="195"/>
      <c r="R10" s="197"/>
      <c r="S10" s="197"/>
      <c r="T10" s="26"/>
      <c r="U10" s="26"/>
      <c r="V10" s="26"/>
      <c r="W10" s="26"/>
      <c r="X10" s="39"/>
      <c r="Y10" s="198"/>
      <c r="Z10" s="198"/>
    </row>
    <row r="11" spans="1:26" x14ac:dyDescent="0.3">
      <c r="A11" s="29"/>
      <c r="B11" s="241" t="s">
        <v>2</v>
      </c>
      <c r="D11" s="254"/>
      <c r="G11" s="255" t="s">
        <v>563</v>
      </c>
      <c r="H11" s="196" t="s">
        <v>239</v>
      </c>
      <c r="I11" s="197"/>
      <c r="J11" s="26"/>
      <c r="K11" s="26"/>
      <c r="L11" s="26"/>
      <c r="M11" s="26"/>
      <c r="N11" s="39"/>
      <c r="O11" s="198"/>
      <c r="P11" s="198"/>
      <c r="Q11" s="195"/>
      <c r="R11" s="197"/>
      <c r="S11" s="197"/>
      <c r="T11" s="26"/>
      <c r="U11" s="26"/>
      <c r="V11" s="26"/>
      <c r="W11" s="26"/>
      <c r="X11" s="39"/>
      <c r="Y11" s="198"/>
      <c r="Z11" s="198"/>
    </row>
    <row r="12" spans="1:26" ht="15" thickBot="1" x14ac:dyDescent="0.35">
      <c r="A12" s="29"/>
      <c r="B12" s="241" t="s">
        <v>55</v>
      </c>
      <c r="D12" s="254"/>
      <c r="G12" s="255">
        <f>SUM(H16:H41)</f>
        <v>18</v>
      </c>
      <c r="H12" s="196" t="s">
        <v>239</v>
      </c>
      <c r="I12" s="197"/>
      <c r="J12" s="26"/>
      <c r="K12" s="26"/>
      <c r="L12" s="26"/>
      <c r="M12" s="26"/>
      <c r="N12" s="39"/>
      <c r="O12" s="198"/>
      <c r="P12" s="198"/>
      <c r="Q12" s="195"/>
      <c r="R12" s="197"/>
      <c r="S12" s="197"/>
      <c r="T12" s="26"/>
      <c r="U12" s="26"/>
      <c r="V12" s="26"/>
      <c r="W12" s="26"/>
      <c r="X12" s="39"/>
      <c r="Y12" s="198"/>
      <c r="Z12" s="198"/>
    </row>
    <row r="13" spans="1:26" ht="15" thickBot="1" x14ac:dyDescent="0.35">
      <c r="A13" s="29"/>
      <c r="B13" s="257" t="s">
        <v>269</v>
      </c>
      <c r="D13" s="254"/>
      <c r="G13" s="250" t="s">
        <v>252</v>
      </c>
      <c r="H13" s="184" t="s">
        <v>69</v>
      </c>
      <c r="I13" s="185" t="s">
        <v>237</v>
      </c>
      <c r="J13" s="186" t="s">
        <v>228</v>
      </c>
      <c r="K13" s="187" t="s">
        <v>204</v>
      </c>
      <c r="L13" s="187" t="s">
        <v>100</v>
      </c>
      <c r="M13" s="187" t="s">
        <v>205</v>
      </c>
      <c r="N13" s="187" t="s">
        <v>206</v>
      </c>
      <c r="O13" s="188" t="s">
        <v>27</v>
      </c>
      <c r="P13" s="188" t="s">
        <v>236</v>
      </c>
      <c r="Q13" s="189"/>
      <c r="R13" s="185" t="s">
        <v>41</v>
      </c>
      <c r="S13" s="185" t="s">
        <v>237</v>
      </c>
      <c r="T13" s="186" t="s">
        <v>228</v>
      </c>
      <c r="U13" s="187" t="s">
        <v>204</v>
      </c>
      <c r="V13" s="187" t="s">
        <v>100</v>
      </c>
      <c r="W13" s="187" t="s">
        <v>205</v>
      </c>
      <c r="X13" s="187" t="s">
        <v>206</v>
      </c>
      <c r="Y13" s="188" t="s">
        <v>27</v>
      </c>
      <c r="Z13" s="188" t="s">
        <v>236</v>
      </c>
    </row>
    <row r="14" spans="1:26" ht="15" thickBot="1" x14ac:dyDescent="0.35">
      <c r="A14" s="29"/>
      <c r="C14" s="258" t="s">
        <v>7</v>
      </c>
      <c r="D14" s="199">
        <f>SUM(D7:D13)</f>
        <v>28</v>
      </c>
      <c r="G14" s="252" t="s">
        <v>161</v>
      </c>
      <c r="H14" s="118" t="s">
        <v>239</v>
      </c>
      <c r="I14" s="201" t="s">
        <v>44</v>
      </c>
      <c r="J14" s="137"/>
      <c r="K14" s="137"/>
      <c r="L14" s="137">
        <v>1</v>
      </c>
      <c r="M14" s="137">
        <v>1</v>
      </c>
      <c r="N14" s="153"/>
      <c r="O14" s="156"/>
      <c r="P14" s="156"/>
      <c r="Q14" s="200"/>
      <c r="R14" s="201"/>
      <c r="S14" s="201"/>
      <c r="T14" s="137"/>
      <c r="U14" s="137"/>
      <c r="V14" s="137"/>
      <c r="W14" s="137"/>
      <c r="X14" s="153"/>
      <c r="Y14" s="156"/>
      <c r="Z14" s="156"/>
    </row>
    <row r="15" spans="1:26" ht="15.6" thickTop="1" thickBot="1" x14ac:dyDescent="0.35">
      <c r="A15" s="30"/>
      <c r="B15" s="261"/>
      <c r="C15" s="261"/>
      <c r="D15" s="262"/>
      <c r="G15" s="202" t="s">
        <v>242</v>
      </c>
      <c r="H15" s="227" t="s">
        <v>239</v>
      </c>
      <c r="I15" s="209"/>
      <c r="J15" s="205"/>
      <c r="K15" s="205"/>
      <c r="L15" s="205"/>
      <c r="M15" s="205"/>
      <c r="N15" s="206"/>
      <c r="O15" s="207"/>
      <c r="P15" s="207"/>
      <c r="Q15" s="208"/>
      <c r="R15" s="209"/>
      <c r="S15" s="209"/>
      <c r="T15" s="205"/>
      <c r="U15" s="205"/>
      <c r="V15" s="205"/>
      <c r="W15" s="205"/>
      <c r="X15" s="206"/>
      <c r="Y15" s="207"/>
      <c r="Z15" s="207"/>
    </row>
    <row r="16" spans="1:26" ht="15" thickBot="1" x14ac:dyDescent="0.35">
      <c r="G16" s="202">
        <f>SUM(H16:H31)</f>
        <v>15</v>
      </c>
      <c r="H16" s="228">
        <f>MAX(K16:N16)+MAX(U16:X16)</f>
        <v>4</v>
      </c>
      <c r="I16" s="29" t="s">
        <v>426</v>
      </c>
      <c r="M16" s="241">
        <v>2</v>
      </c>
      <c r="N16" s="241">
        <v>2</v>
      </c>
      <c r="O16" s="211">
        <f>(J16+K16)*$Y$3</f>
        <v>0</v>
      </c>
      <c r="P16" s="211"/>
      <c r="Q16" s="195"/>
      <c r="R16" s="212" t="s">
        <v>120</v>
      </c>
      <c r="S16" s="212" t="s">
        <v>71</v>
      </c>
      <c r="T16" s="213"/>
      <c r="U16" s="213">
        <v>2</v>
      </c>
      <c r="V16" s="213"/>
      <c r="W16" s="213"/>
      <c r="X16" s="214"/>
      <c r="Y16" s="211">
        <f>(T16+U16)*$Y$3</f>
        <v>1</v>
      </c>
      <c r="Z16" s="211"/>
    </row>
    <row r="17" spans="1:26" x14ac:dyDescent="0.3">
      <c r="A17" s="28" t="s">
        <v>19</v>
      </c>
      <c r="B17" s="274"/>
      <c r="C17" s="274" t="s">
        <v>13</v>
      </c>
      <c r="D17" s="215">
        <f>(J6+K6)*$Y$3</f>
        <v>3.5</v>
      </c>
      <c r="G17" s="255"/>
      <c r="H17" s="228">
        <f t="shared" ref="H17:H31" si="3">MAX(K17:N17)+MAX(U17:X17)</f>
        <v>3</v>
      </c>
      <c r="I17" s="57" t="s">
        <v>110</v>
      </c>
      <c r="J17" s="266">
        <v>2</v>
      </c>
      <c r="K17" s="266"/>
      <c r="L17" s="266">
        <v>2</v>
      </c>
      <c r="M17" s="266">
        <v>1</v>
      </c>
      <c r="N17" s="266"/>
      <c r="O17" s="216">
        <f t="shared" ref="O17:O31" si="4">(J17+K17)*$Y$3</f>
        <v>1</v>
      </c>
      <c r="P17" s="216"/>
      <c r="Q17" s="195"/>
      <c r="R17" s="57" t="s">
        <v>98</v>
      </c>
      <c r="S17" s="57" t="s">
        <v>97</v>
      </c>
      <c r="T17" s="266"/>
      <c r="U17" s="266">
        <v>1</v>
      </c>
      <c r="V17" s="266"/>
      <c r="W17" s="266"/>
      <c r="Y17" s="216">
        <f t="shared" ref="Y17:Y31" si="5">(T17+U17)*$Y$3</f>
        <v>0.5</v>
      </c>
      <c r="Z17" s="216"/>
    </row>
    <row r="18" spans="1:26" ht="15" thickBot="1" x14ac:dyDescent="0.35">
      <c r="A18" s="29"/>
      <c r="C18" s="258" t="s">
        <v>14</v>
      </c>
      <c r="D18" s="217">
        <f>(J2+K2)*$Y$2</f>
        <v>3</v>
      </c>
      <c r="G18" s="255"/>
      <c r="H18" s="228">
        <f t="shared" si="3"/>
        <v>3</v>
      </c>
      <c r="I18" s="57" t="s">
        <v>131</v>
      </c>
      <c r="J18" s="266"/>
      <c r="K18" s="266"/>
      <c r="L18" s="266">
        <v>1</v>
      </c>
      <c r="M18" s="266">
        <v>1</v>
      </c>
      <c r="N18" s="266"/>
      <c r="O18" s="216">
        <f t="shared" si="4"/>
        <v>0</v>
      </c>
      <c r="P18" s="216"/>
      <c r="Q18" s="195"/>
      <c r="R18" s="57" t="s">
        <v>119</v>
      </c>
      <c r="S18" s="57" t="s">
        <v>94</v>
      </c>
      <c r="T18" s="266"/>
      <c r="U18" s="266">
        <v>2</v>
      </c>
      <c r="V18" s="266"/>
      <c r="W18" s="266"/>
      <c r="Y18" s="216">
        <f t="shared" si="5"/>
        <v>1</v>
      </c>
      <c r="Z18" s="216"/>
    </row>
    <row r="19" spans="1:26" ht="15.6" thickTop="1" thickBot="1" x14ac:dyDescent="0.35">
      <c r="A19" s="30"/>
      <c r="B19" s="261"/>
      <c r="C19" s="218" t="s">
        <v>7</v>
      </c>
      <c r="D19" s="219">
        <f>SUM(D17:D18)</f>
        <v>6.5</v>
      </c>
      <c r="G19" s="255"/>
      <c r="H19" s="228">
        <f t="shared" si="3"/>
        <v>2</v>
      </c>
      <c r="I19" s="57" t="s">
        <v>52</v>
      </c>
      <c r="J19" s="266"/>
      <c r="K19" s="266"/>
      <c r="L19" s="266">
        <v>1</v>
      </c>
      <c r="M19" s="266"/>
      <c r="N19" s="266"/>
      <c r="O19" s="216">
        <f t="shared" si="4"/>
        <v>0</v>
      </c>
      <c r="P19" s="216"/>
      <c r="Q19" s="195"/>
      <c r="R19" s="57" t="s">
        <v>327</v>
      </c>
      <c r="S19" s="57" t="s">
        <v>299</v>
      </c>
      <c r="T19" s="266"/>
      <c r="U19" s="266">
        <v>1</v>
      </c>
      <c r="V19" s="266"/>
      <c r="W19" s="266"/>
      <c r="Y19" s="216">
        <f t="shared" si="5"/>
        <v>0.5</v>
      </c>
      <c r="Z19" s="216"/>
    </row>
    <row r="20" spans="1:26" ht="15" thickBot="1" x14ac:dyDescent="0.35">
      <c r="G20" s="255"/>
      <c r="H20" s="228">
        <f t="shared" si="3"/>
        <v>2</v>
      </c>
      <c r="I20" s="57" t="s">
        <v>428</v>
      </c>
      <c r="J20" s="266"/>
      <c r="K20" s="266"/>
      <c r="L20" s="266">
        <v>1</v>
      </c>
      <c r="M20" s="266"/>
      <c r="N20" s="266"/>
      <c r="O20" s="216">
        <f t="shared" si="4"/>
        <v>0</v>
      </c>
      <c r="P20" s="216"/>
      <c r="Q20" s="195"/>
      <c r="R20" s="57"/>
      <c r="S20" s="57" t="s">
        <v>76</v>
      </c>
      <c r="T20" s="266"/>
      <c r="U20" s="266">
        <v>1</v>
      </c>
      <c r="V20" s="266"/>
      <c r="W20" s="266">
        <v>1</v>
      </c>
      <c r="Y20" s="216">
        <f t="shared" si="5"/>
        <v>0.5</v>
      </c>
      <c r="Z20" s="216"/>
    </row>
    <row r="21" spans="1:26" x14ac:dyDescent="0.3">
      <c r="A21" s="220" t="s">
        <v>243</v>
      </c>
      <c r="B21" s="274"/>
      <c r="C21" s="274"/>
      <c r="D21" s="272"/>
      <c r="G21" s="255"/>
      <c r="H21" s="228">
        <f t="shared" si="3"/>
        <v>1</v>
      </c>
      <c r="I21" s="29" t="s">
        <v>115</v>
      </c>
      <c r="J21" s="266"/>
      <c r="K21" s="266">
        <v>1</v>
      </c>
      <c r="L21" s="266">
        <v>1</v>
      </c>
      <c r="M21" s="266">
        <v>1</v>
      </c>
      <c r="N21" s="266"/>
      <c r="O21" s="216">
        <f t="shared" si="4"/>
        <v>0.5</v>
      </c>
      <c r="P21" s="216"/>
      <c r="Q21" s="195"/>
      <c r="R21" s="57"/>
      <c r="S21" s="57"/>
      <c r="T21" s="266"/>
      <c r="U21" s="266"/>
      <c r="V21" s="266"/>
      <c r="W21" s="266"/>
      <c r="Y21" s="216">
        <f t="shared" si="5"/>
        <v>0</v>
      </c>
      <c r="Z21" s="216"/>
    </row>
    <row r="22" spans="1:26" x14ac:dyDescent="0.3">
      <c r="A22" s="221"/>
      <c r="B22" s="157" t="s">
        <v>232</v>
      </c>
      <c r="C22" s="157"/>
      <c r="D22" s="158"/>
      <c r="G22" s="255"/>
      <c r="H22" s="228">
        <f t="shared" si="3"/>
        <v>0</v>
      </c>
      <c r="I22" s="57"/>
      <c r="J22" s="266"/>
      <c r="K22" s="266"/>
      <c r="L22" s="266"/>
      <c r="M22" s="266"/>
      <c r="N22" s="266"/>
      <c r="O22" s="216">
        <f t="shared" si="4"/>
        <v>0</v>
      </c>
      <c r="P22" s="216"/>
      <c r="Q22" s="195"/>
      <c r="R22" s="222"/>
      <c r="S22" s="222"/>
      <c r="T22" s="223"/>
      <c r="U22" s="223"/>
      <c r="V22" s="223"/>
      <c r="W22" s="223"/>
      <c r="Y22" s="216">
        <f t="shared" si="5"/>
        <v>0</v>
      </c>
      <c r="Z22" s="216"/>
    </row>
    <row r="23" spans="1:26" x14ac:dyDescent="0.3">
      <c r="A23" s="29"/>
      <c r="B23" s="159">
        <v>2</v>
      </c>
      <c r="C23" s="24" t="s">
        <v>20</v>
      </c>
      <c r="D23" s="25">
        <f>B23*0.5</f>
        <v>1</v>
      </c>
      <c r="G23" s="255"/>
      <c r="H23" s="228">
        <f t="shared" si="3"/>
        <v>0</v>
      </c>
      <c r="I23" s="57"/>
      <c r="J23" s="266"/>
      <c r="K23" s="266"/>
      <c r="L23" s="266"/>
      <c r="M23" s="266"/>
      <c r="N23" s="266"/>
      <c r="O23" s="216">
        <f t="shared" si="4"/>
        <v>0</v>
      </c>
      <c r="P23" s="216"/>
      <c r="Q23" s="195"/>
      <c r="R23" s="57"/>
      <c r="S23" s="57"/>
      <c r="T23" s="266"/>
      <c r="U23" s="266"/>
      <c r="V23" s="266"/>
      <c r="W23" s="266"/>
      <c r="Y23" s="216">
        <f t="shared" si="5"/>
        <v>0</v>
      </c>
      <c r="Z23" s="216"/>
    </row>
    <row r="24" spans="1:26" x14ac:dyDescent="0.3">
      <c r="A24" s="29"/>
      <c r="B24" s="159"/>
      <c r="C24" s="24" t="s">
        <v>21</v>
      </c>
      <c r="D24" s="25">
        <f>B24</f>
        <v>0</v>
      </c>
      <c r="G24" s="255"/>
      <c r="H24" s="228">
        <f t="shared" si="3"/>
        <v>0</v>
      </c>
      <c r="I24" s="57"/>
      <c r="J24" s="266"/>
      <c r="K24" s="266"/>
      <c r="L24" s="266"/>
      <c r="M24" s="266"/>
      <c r="N24" s="266"/>
      <c r="O24" s="216">
        <f t="shared" si="4"/>
        <v>0</v>
      </c>
      <c r="P24" s="216"/>
      <c r="Q24" s="195"/>
      <c r="R24" s="57"/>
      <c r="S24" s="57"/>
      <c r="T24" s="266"/>
      <c r="U24" s="266"/>
      <c r="V24" s="266"/>
      <c r="W24" s="266"/>
      <c r="Y24" s="216">
        <f t="shared" si="5"/>
        <v>0</v>
      </c>
      <c r="Z24" s="216"/>
    </row>
    <row r="25" spans="1:26" x14ac:dyDescent="0.3">
      <c r="A25" s="29"/>
      <c r="B25" s="159">
        <v>1</v>
      </c>
      <c r="C25" s="24" t="s">
        <v>22</v>
      </c>
      <c r="D25" s="25">
        <f>B25</f>
        <v>1</v>
      </c>
      <c r="G25" s="255"/>
      <c r="H25" s="228">
        <f t="shared" si="3"/>
        <v>0</v>
      </c>
      <c r="I25" s="57"/>
      <c r="J25" s="266"/>
      <c r="K25" s="266"/>
      <c r="L25" s="266"/>
      <c r="M25" s="266"/>
      <c r="N25" s="266"/>
      <c r="O25" s="216">
        <f t="shared" si="4"/>
        <v>0</v>
      </c>
      <c r="P25" s="216"/>
      <c r="Q25" s="195"/>
      <c r="R25" s="57"/>
      <c r="S25" s="57"/>
      <c r="T25" s="266"/>
      <c r="U25" s="266"/>
      <c r="V25" s="266"/>
      <c r="W25" s="266"/>
      <c r="Y25" s="216">
        <f t="shared" si="5"/>
        <v>0</v>
      </c>
      <c r="Z25" s="216"/>
    </row>
    <row r="26" spans="1:26" x14ac:dyDescent="0.3">
      <c r="A26" s="29"/>
      <c r="B26" s="159">
        <v>1</v>
      </c>
      <c r="C26" s="24" t="s">
        <v>23</v>
      </c>
      <c r="D26" s="25">
        <f>B26</f>
        <v>1</v>
      </c>
      <c r="G26" s="255"/>
      <c r="H26" s="228">
        <f t="shared" si="3"/>
        <v>0</v>
      </c>
      <c r="I26" s="57"/>
      <c r="J26" s="266"/>
      <c r="K26" s="266"/>
      <c r="L26" s="266"/>
      <c r="M26" s="266"/>
      <c r="N26" s="266"/>
      <c r="O26" s="216">
        <f t="shared" si="4"/>
        <v>0</v>
      </c>
      <c r="P26" s="216"/>
      <c r="Q26" s="195"/>
      <c r="R26" s="57"/>
      <c r="S26" s="57"/>
      <c r="T26" s="266"/>
      <c r="U26" s="266"/>
      <c r="V26" s="266"/>
      <c r="W26" s="266"/>
      <c r="Y26" s="216">
        <f t="shared" si="5"/>
        <v>0</v>
      </c>
      <c r="Z26" s="216"/>
    </row>
    <row r="27" spans="1:26" ht="15" thickBot="1" x14ac:dyDescent="0.35">
      <c r="A27" s="30"/>
      <c r="B27" s="160"/>
      <c r="C27" s="161" t="s">
        <v>25</v>
      </c>
      <c r="D27" s="162">
        <f>SUM(D23:D26)</f>
        <v>3</v>
      </c>
      <c r="G27" s="255"/>
      <c r="H27" s="228">
        <f t="shared" si="3"/>
        <v>0</v>
      </c>
      <c r="I27" s="57"/>
      <c r="J27" s="266"/>
      <c r="K27" s="266"/>
      <c r="L27" s="266"/>
      <c r="M27" s="266"/>
      <c r="N27" s="266"/>
      <c r="O27" s="216">
        <f t="shared" si="4"/>
        <v>0</v>
      </c>
      <c r="P27" s="216"/>
      <c r="Q27" s="195"/>
      <c r="R27" s="57"/>
      <c r="S27" s="57"/>
      <c r="T27" s="266"/>
      <c r="U27" s="266"/>
      <c r="V27" s="266"/>
      <c r="W27" s="266"/>
      <c r="Y27" s="216">
        <f t="shared" si="5"/>
        <v>0</v>
      </c>
      <c r="Z27" s="216"/>
    </row>
    <row r="28" spans="1:26" ht="15" thickBot="1" x14ac:dyDescent="0.35">
      <c r="G28" s="255"/>
      <c r="H28" s="228">
        <f t="shared" si="3"/>
        <v>0</v>
      </c>
      <c r="I28" s="57"/>
      <c r="J28" s="266"/>
      <c r="K28" s="266"/>
      <c r="L28" s="266"/>
      <c r="M28" s="266"/>
      <c r="N28" s="266"/>
      <c r="O28" s="216">
        <f t="shared" si="4"/>
        <v>0</v>
      </c>
      <c r="P28" s="216"/>
      <c r="Q28" s="195"/>
      <c r="R28" s="57"/>
      <c r="S28" s="57"/>
      <c r="T28" s="266"/>
      <c r="U28" s="266"/>
      <c r="V28" s="266"/>
      <c r="W28" s="266"/>
      <c r="Y28" s="216">
        <f t="shared" si="5"/>
        <v>0</v>
      </c>
      <c r="Z28" s="216"/>
    </row>
    <row r="29" spans="1:26" x14ac:dyDescent="0.3">
      <c r="A29" s="220" t="s">
        <v>244</v>
      </c>
      <c r="B29" s="274"/>
      <c r="C29" s="274"/>
      <c r="D29" s="272"/>
      <c r="G29" s="255"/>
      <c r="H29" s="228">
        <f t="shared" si="3"/>
        <v>0</v>
      </c>
      <c r="I29" s="57"/>
      <c r="J29" s="266"/>
      <c r="K29" s="266"/>
      <c r="L29" s="266"/>
      <c r="M29" s="266"/>
      <c r="N29" s="266"/>
      <c r="O29" s="216">
        <f t="shared" si="4"/>
        <v>0</v>
      </c>
      <c r="P29" s="216"/>
      <c r="Q29" s="195"/>
      <c r="R29" s="57"/>
      <c r="S29" s="57"/>
      <c r="T29" s="266"/>
      <c r="U29" s="266"/>
      <c r="V29" s="266"/>
      <c r="W29" s="266"/>
      <c r="Y29" s="216">
        <f t="shared" si="5"/>
        <v>0</v>
      </c>
      <c r="Z29" s="216"/>
    </row>
    <row r="30" spans="1:26" x14ac:dyDescent="0.3">
      <c r="A30" s="221"/>
      <c r="C30" s="241" t="s">
        <v>26</v>
      </c>
      <c r="D30" s="254">
        <f>P2</f>
        <v>0</v>
      </c>
      <c r="G30" s="255"/>
      <c r="H30" s="228">
        <f t="shared" si="3"/>
        <v>0</v>
      </c>
      <c r="I30" s="57"/>
      <c r="J30" s="266"/>
      <c r="K30" s="266"/>
      <c r="L30" s="266"/>
      <c r="M30" s="266"/>
      <c r="N30" s="266"/>
      <c r="O30" s="216">
        <f t="shared" si="4"/>
        <v>0</v>
      </c>
      <c r="P30" s="216"/>
      <c r="Q30" s="195"/>
      <c r="R30" s="57"/>
      <c r="S30" s="57"/>
      <c r="T30" s="266"/>
      <c r="U30" s="266"/>
      <c r="V30" s="266"/>
      <c r="W30" s="266"/>
      <c r="Y30" s="216">
        <f t="shared" si="5"/>
        <v>0</v>
      </c>
      <c r="Z30" s="216"/>
    </row>
    <row r="31" spans="1:26" ht="15" thickBot="1" x14ac:dyDescent="0.35">
      <c r="A31" s="29"/>
      <c r="B31" s="157" t="s">
        <v>232</v>
      </c>
      <c r="C31" s="157"/>
      <c r="D31" s="224"/>
      <c r="G31" s="260"/>
      <c r="H31" s="228">
        <f t="shared" si="3"/>
        <v>0</v>
      </c>
      <c r="I31" s="81"/>
      <c r="J31" s="269"/>
      <c r="K31" s="269"/>
      <c r="L31" s="269"/>
      <c r="M31" s="269"/>
      <c r="N31" s="269"/>
      <c r="O31" s="216">
        <f t="shared" si="4"/>
        <v>0</v>
      </c>
      <c r="P31" s="216"/>
      <c r="Q31" s="226"/>
      <c r="R31" s="81"/>
      <c r="S31" s="81"/>
      <c r="T31" s="269"/>
      <c r="U31" s="269"/>
      <c r="V31" s="269"/>
      <c r="W31" s="269"/>
      <c r="X31" s="261"/>
      <c r="Y31" s="216">
        <f t="shared" si="5"/>
        <v>0</v>
      </c>
      <c r="Z31" s="216"/>
    </row>
    <row r="32" spans="1:26" ht="15" thickBot="1" x14ac:dyDescent="0.35">
      <c r="A32" s="29"/>
      <c r="B32" s="159"/>
      <c r="C32" s="24" t="s">
        <v>16</v>
      </c>
      <c r="D32" s="25">
        <f>INT(B32/4)</f>
        <v>0</v>
      </c>
      <c r="G32" s="183" t="s">
        <v>258</v>
      </c>
      <c r="H32" s="184" t="s">
        <v>69</v>
      </c>
      <c r="I32" s="185" t="s">
        <v>237</v>
      </c>
      <c r="J32" s="186" t="s">
        <v>228</v>
      </c>
      <c r="K32" s="187" t="s">
        <v>204</v>
      </c>
      <c r="L32" s="187" t="s">
        <v>100</v>
      </c>
      <c r="M32" s="187" t="s">
        <v>205</v>
      </c>
      <c r="N32" s="187" t="s">
        <v>206</v>
      </c>
      <c r="O32" s="188" t="s">
        <v>27</v>
      </c>
      <c r="P32" s="188" t="s">
        <v>236</v>
      </c>
      <c r="Q32" s="189"/>
      <c r="R32" s="185" t="s">
        <v>41</v>
      </c>
      <c r="S32" s="185" t="s">
        <v>237</v>
      </c>
      <c r="T32" s="186" t="s">
        <v>228</v>
      </c>
      <c r="U32" s="187" t="s">
        <v>204</v>
      </c>
      <c r="V32" s="187" t="s">
        <v>100</v>
      </c>
      <c r="W32" s="187" t="s">
        <v>205</v>
      </c>
      <c r="X32" s="187" t="s">
        <v>206</v>
      </c>
      <c r="Y32" s="188" t="s">
        <v>27</v>
      </c>
      <c r="Z32" s="188" t="s">
        <v>236</v>
      </c>
    </row>
    <row r="33" spans="1:26" ht="15" thickBot="1" x14ac:dyDescent="0.35">
      <c r="A33" s="29"/>
      <c r="B33" s="159"/>
      <c r="C33" s="24" t="s">
        <v>17</v>
      </c>
      <c r="D33" s="25">
        <f>INT(B33/3)</f>
        <v>0</v>
      </c>
      <c r="G33" s="264" t="s">
        <v>161</v>
      </c>
      <c r="H33" s="118" t="s">
        <v>239</v>
      </c>
      <c r="I33" s="201"/>
      <c r="J33" s="137"/>
      <c r="K33" s="137"/>
      <c r="L33" s="137"/>
      <c r="M33" s="137"/>
      <c r="N33" s="153"/>
      <c r="O33" s="156"/>
      <c r="P33" s="156"/>
      <c r="Q33" s="200"/>
      <c r="R33" s="201"/>
      <c r="S33" s="201"/>
      <c r="T33" s="137"/>
      <c r="U33" s="137"/>
      <c r="V33" s="137"/>
      <c r="W33" s="137"/>
      <c r="X33" s="153"/>
      <c r="Y33" s="156"/>
      <c r="Z33" s="156"/>
    </row>
    <row r="34" spans="1:26" x14ac:dyDescent="0.3">
      <c r="A34" s="29"/>
      <c r="B34" s="159"/>
      <c r="C34" s="24" t="s">
        <v>18</v>
      </c>
      <c r="D34" s="25">
        <f>B34</f>
        <v>0</v>
      </c>
      <c r="G34" s="202" t="s">
        <v>424</v>
      </c>
      <c r="H34" s="227" t="s">
        <v>239</v>
      </c>
      <c r="I34" s="209"/>
      <c r="J34" s="205"/>
      <c r="K34" s="205"/>
      <c r="L34" s="205"/>
      <c r="M34" s="205"/>
      <c r="N34" s="206"/>
      <c r="O34" s="207"/>
      <c r="P34" s="207"/>
      <c r="Q34" s="208"/>
      <c r="R34" s="209"/>
      <c r="S34" s="209"/>
      <c r="T34" s="205"/>
      <c r="U34" s="205"/>
      <c r="V34" s="205"/>
      <c r="W34" s="205"/>
      <c r="X34" s="206"/>
      <c r="Y34" s="207"/>
      <c r="Z34" s="207"/>
    </row>
    <row r="35" spans="1:26" ht="18" x14ac:dyDescent="0.35">
      <c r="A35" s="29"/>
      <c r="C35" s="241" t="s">
        <v>12</v>
      </c>
      <c r="D35" s="136">
        <f>INT((D14-10)/5)</f>
        <v>3</v>
      </c>
      <c r="G35" s="202">
        <f>SUM(H35:H36)</f>
        <v>0</v>
      </c>
      <c r="H35" s="228">
        <f>MAX(K35:N35)+MAX(U35:X35)</f>
        <v>0</v>
      </c>
      <c r="I35" s="445" t="s">
        <v>382</v>
      </c>
      <c r="O35" s="211">
        <f>(J35+K35)*$Y$3</f>
        <v>0</v>
      </c>
      <c r="P35" s="211"/>
      <c r="Q35" s="195"/>
      <c r="R35" s="212"/>
      <c r="S35" s="212"/>
      <c r="T35" s="213"/>
      <c r="U35" s="213"/>
      <c r="V35" s="213"/>
      <c r="W35" s="213"/>
      <c r="X35" s="214"/>
      <c r="Y35" s="211">
        <f>(T35+U35)*$Y$3</f>
        <v>0</v>
      </c>
      <c r="Z35" s="211"/>
    </row>
    <row r="36" spans="1:26" ht="18.600000000000001" thickBot="1" x14ac:dyDescent="0.4">
      <c r="A36" s="29"/>
      <c r="C36" s="263" t="s">
        <v>7</v>
      </c>
      <c r="D36" s="229">
        <f>D27-(D30+D35)</f>
        <v>0</v>
      </c>
      <c r="G36" s="265"/>
      <c r="H36" s="228">
        <f>MAX(K36:N36)+MAX(U36:X36)</f>
        <v>0</v>
      </c>
      <c r="I36" s="444"/>
      <c r="J36" s="266"/>
      <c r="K36" s="266"/>
      <c r="L36" s="266"/>
      <c r="M36" s="266"/>
      <c r="N36" s="266"/>
      <c r="O36" s="216">
        <f>(J36+K36)*$Y$3</f>
        <v>0</v>
      </c>
      <c r="P36" s="216"/>
      <c r="Q36" s="195"/>
      <c r="R36" s="57"/>
      <c r="S36" s="57"/>
      <c r="T36" s="266"/>
      <c r="U36" s="266"/>
      <c r="V36" s="266"/>
      <c r="W36" s="266"/>
      <c r="Y36" s="216">
        <f>(T36+U36)*$Y$3</f>
        <v>0</v>
      </c>
      <c r="Z36" s="216"/>
    </row>
    <row r="37" spans="1:26" ht="15.6" thickTop="1" thickBot="1" x14ac:dyDescent="0.35">
      <c r="A37" s="30"/>
      <c r="B37" s="261"/>
      <c r="C37" s="261" t="s">
        <v>34</v>
      </c>
      <c r="D37" s="262">
        <f>IF(D36&lt;=0,0,-D36)</f>
        <v>0</v>
      </c>
      <c r="G37" s="250" t="s">
        <v>248</v>
      </c>
      <c r="H37" s="184" t="s">
        <v>69</v>
      </c>
      <c r="I37" s="185" t="s">
        <v>237</v>
      </c>
      <c r="J37" s="186" t="s">
        <v>228</v>
      </c>
      <c r="K37" s="187" t="s">
        <v>204</v>
      </c>
      <c r="L37" s="187" t="s">
        <v>100</v>
      </c>
      <c r="M37" s="187" t="s">
        <v>205</v>
      </c>
      <c r="N37" s="187" t="s">
        <v>206</v>
      </c>
      <c r="O37" s="188" t="s">
        <v>27</v>
      </c>
      <c r="P37" s="188" t="s">
        <v>236</v>
      </c>
      <c r="Q37" s="189"/>
      <c r="R37" s="185" t="s">
        <v>41</v>
      </c>
      <c r="S37" s="230" t="s">
        <v>237</v>
      </c>
      <c r="T37" s="186" t="s">
        <v>228</v>
      </c>
      <c r="U37" s="187" t="s">
        <v>204</v>
      </c>
      <c r="V37" s="187" t="s">
        <v>100</v>
      </c>
      <c r="W37" s="187" t="s">
        <v>205</v>
      </c>
      <c r="X37" s="187" t="s">
        <v>206</v>
      </c>
      <c r="Y37" s="188" t="s">
        <v>27</v>
      </c>
      <c r="Z37" s="188" t="s">
        <v>236</v>
      </c>
    </row>
    <row r="38" spans="1:26" x14ac:dyDescent="0.3">
      <c r="G38" s="270" t="s">
        <v>376</v>
      </c>
      <c r="H38" s="231">
        <f>MAX(K38:N38)+MAX(U38:X38)</f>
        <v>1</v>
      </c>
      <c r="I38" s="29" t="s">
        <v>328</v>
      </c>
      <c r="K38" s="241">
        <v>1</v>
      </c>
      <c r="L38" s="241">
        <v>1</v>
      </c>
      <c r="M38" s="241">
        <v>1</v>
      </c>
      <c r="O38" s="211">
        <f>(J38+K38)*$Y$3</f>
        <v>0.5</v>
      </c>
      <c r="P38" s="211"/>
      <c r="Q38" s="195"/>
      <c r="R38" s="29" t="s">
        <v>377</v>
      </c>
      <c r="Y38" s="211">
        <f>(T38+U38)*$Y$3</f>
        <v>0</v>
      </c>
      <c r="Z38" s="211"/>
    </row>
    <row r="39" spans="1:26" ht="15" thickBot="1" x14ac:dyDescent="0.35">
      <c r="G39" s="273" t="s">
        <v>173</v>
      </c>
      <c r="H39" s="225">
        <f>MAX(K39:N39)+MAX(U39:X39)</f>
        <v>0</v>
      </c>
      <c r="I39" s="303" t="s">
        <v>377</v>
      </c>
      <c r="J39" s="269"/>
      <c r="K39" s="269"/>
      <c r="L39" s="269"/>
      <c r="M39" s="269"/>
      <c r="N39" s="269"/>
      <c r="O39" s="232">
        <f>(J39+K39)*$Y$3</f>
        <v>0</v>
      </c>
      <c r="P39" s="232"/>
      <c r="Q39" s="226"/>
      <c r="R39" s="302" t="s">
        <v>377</v>
      </c>
      <c r="S39" s="261"/>
      <c r="T39" s="261"/>
      <c r="U39" s="261"/>
      <c r="V39" s="261"/>
      <c r="W39" s="261"/>
      <c r="X39" s="261"/>
      <c r="Y39" s="232">
        <f>(T39+U39)*$Y$3</f>
        <v>0</v>
      </c>
      <c r="Z39" s="232"/>
    </row>
    <row r="40" spans="1:26" ht="15" thickBot="1" x14ac:dyDescent="0.35">
      <c r="C40" s="267" t="s">
        <v>27</v>
      </c>
      <c r="D40" s="267">
        <f>D19+D37</f>
        <v>6.5</v>
      </c>
      <c r="G40" s="270" t="s">
        <v>425</v>
      </c>
      <c r="H40" s="231">
        <f>MAX(K40:N40)+MAX(U40:X40)</f>
        <v>2</v>
      </c>
      <c r="I40" s="93" t="s">
        <v>425</v>
      </c>
      <c r="J40" s="271"/>
      <c r="K40" s="271">
        <v>1</v>
      </c>
      <c r="L40" s="271">
        <v>1</v>
      </c>
      <c r="M40" s="271">
        <v>1</v>
      </c>
      <c r="N40" s="271"/>
      <c r="O40" s="233">
        <f>(J40+K40)*$Y$3</f>
        <v>0.5</v>
      </c>
      <c r="P40" s="233"/>
      <c r="Q40" s="200"/>
      <c r="R40" s="28"/>
      <c r="S40" s="28" t="s">
        <v>427</v>
      </c>
      <c r="T40" s="274"/>
      <c r="U40" s="274">
        <v>1</v>
      </c>
      <c r="V40" s="274"/>
      <c r="W40" s="274"/>
      <c r="X40" s="274"/>
      <c r="Y40" s="233">
        <f>(T40+U40)*$Y$3</f>
        <v>0.5</v>
      </c>
      <c r="Z40" s="233"/>
    </row>
    <row r="41" spans="1:26" ht="15.6" thickTop="1" thickBot="1" x14ac:dyDescent="0.35">
      <c r="G41" s="275" t="s">
        <v>173</v>
      </c>
      <c r="H41" s="225">
        <f>MAX(K41:N41)+MAX(U41:X41)</f>
        <v>0</v>
      </c>
      <c r="I41" s="30"/>
      <c r="J41" s="261"/>
      <c r="K41" s="261"/>
      <c r="L41" s="261"/>
      <c r="M41" s="261"/>
      <c r="N41" s="261"/>
      <c r="O41" s="232">
        <f>(J41+K41)*$Y$3</f>
        <v>0</v>
      </c>
      <c r="P41" s="232"/>
      <c r="Q41" s="226"/>
      <c r="R41" s="30"/>
      <c r="S41" s="30"/>
      <c r="T41" s="261"/>
      <c r="U41" s="261"/>
      <c r="V41" s="261"/>
      <c r="W41" s="261"/>
      <c r="X41" s="261"/>
      <c r="Y41" s="232">
        <f>(T41+U41)*$Y$3</f>
        <v>0</v>
      </c>
      <c r="Z41" s="232"/>
    </row>
    <row r="42" spans="1:26" ht="15" thickBot="1" x14ac:dyDescent="0.35"/>
    <row r="43" spans="1:26" ht="15" thickBot="1" x14ac:dyDescent="0.35">
      <c r="G43" s="250" t="s">
        <v>431</v>
      </c>
      <c r="H43" s="184" t="s">
        <v>69</v>
      </c>
      <c r="I43" s="185" t="s">
        <v>237</v>
      </c>
      <c r="J43" s="186" t="s">
        <v>228</v>
      </c>
      <c r="K43" s="187" t="s">
        <v>204</v>
      </c>
      <c r="L43" s="187" t="s">
        <v>100</v>
      </c>
      <c r="M43" s="187" t="s">
        <v>205</v>
      </c>
      <c r="N43" s="187" t="s">
        <v>206</v>
      </c>
      <c r="O43" s="188" t="s">
        <v>27</v>
      </c>
      <c r="P43" s="188" t="s">
        <v>236</v>
      </c>
      <c r="Q43" s="189"/>
      <c r="R43" s="185" t="s">
        <v>41</v>
      </c>
      <c r="S43" s="185" t="s">
        <v>237</v>
      </c>
      <c r="T43" s="186" t="s">
        <v>228</v>
      </c>
      <c r="U43" s="187" t="s">
        <v>204</v>
      </c>
      <c r="V43" s="187" t="s">
        <v>100</v>
      </c>
      <c r="W43" s="187" t="s">
        <v>205</v>
      </c>
      <c r="X43" s="187" t="s">
        <v>206</v>
      </c>
      <c r="Y43" s="188" t="s">
        <v>27</v>
      </c>
      <c r="Z43" s="188" t="s">
        <v>236</v>
      </c>
    </row>
    <row r="44" spans="1:26" ht="15" thickBot="1" x14ac:dyDescent="0.35">
      <c r="G44" s="264" t="s">
        <v>287</v>
      </c>
      <c r="H44" s="231">
        <f>MAX(K44:N44)+MAX(U44:X44)</f>
        <v>1</v>
      </c>
      <c r="I44" s="266" t="s">
        <v>9</v>
      </c>
      <c r="J44" s="266">
        <v>1</v>
      </c>
      <c r="K44" s="266"/>
      <c r="L44" s="266">
        <v>1</v>
      </c>
      <c r="M44" s="266">
        <v>1</v>
      </c>
      <c r="N44" s="266"/>
      <c r="O44" s="216">
        <f>(J44+K44)*$Y$3</f>
        <v>0.5</v>
      </c>
      <c r="P44" s="216"/>
      <c r="Q44" s="195"/>
      <c r="R44" s="70"/>
      <c r="Y44" s="216">
        <f>(T44+U44)*$Y$3</f>
        <v>0</v>
      </c>
      <c r="Z44" s="216"/>
    </row>
    <row r="45" spans="1:26" ht="15" thickBot="1" x14ac:dyDescent="0.35">
      <c r="G45" s="301"/>
      <c r="H45" s="225">
        <f>MAX(K45:N45)+MAX(U45:X45)</f>
        <v>0</v>
      </c>
      <c r="I45" s="269"/>
      <c r="J45" s="269"/>
      <c r="K45" s="269"/>
      <c r="L45" s="269"/>
      <c r="M45" s="269"/>
      <c r="N45" s="269"/>
      <c r="O45" s="232">
        <f>(J45+K45)*$Y$3</f>
        <v>0</v>
      </c>
      <c r="P45" s="232"/>
      <c r="Q45" s="226"/>
      <c r="R45" s="302"/>
      <c r="S45" s="140"/>
      <c r="T45" s="140"/>
      <c r="U45" s="140"/>
      <c r="V45" s="140"/>
      <c r="W45" s="140"/>
      <c r="X45" s="261"/>
      <c r="Y45" s="232">
        <f>(T45+U45)*$Y$3</f>
        <v>0</v>
      </c>
      <c r="Z45" s="232"/>
    </row>
    <row r="46" spans="1:26" ht="15" thickBot="1" x14ac:dyDescent="0.35"/>
    <row r="47" spans="1:26" ht="15" thickBot="1" x14ac:dyDescent="0.35">
      <c r="G47" s="250" t="s">
        <v>431</v>
      </c>
      <c r="H47" s="184" t="s">
        <v>69</v>
      </c>
      <c r="I47" s="185" t="s">
        <v>237</v>
      </c>
      <c r="J47" s="186" t="s">
        <v>228</v>
      </c>
      <c r="K47" s="187" t="s">
        <v>204</v>
      </c>
      <c r="L47" s="187" t="s">
        <v>100</v>
      </c>
      <c r="M47" s="187" t="s">
        <v>205</v>
      </c>
      <c r="N47" s="187" t="s">
        <v>206</v>
      </c>
      <c r="O47" s="188" t="s">
        <v>27</v>
      </c>
      <c r="P47" s="188" t="s">
        <v>236</v>
      </c>
      <c r="Q47" s="189"/>
      <c r="R47" s="185" t="s">
        <v>41</v>
      </c>
      <c r="S47" s="185" t="s">
        <v>237</v>
      </c>
      <c r="T47" s="186" t="s">
        <v>228</v>
      </c>
      <c r="U47" s="187" t="s">
        <v>204</v>
      </c>
      <c r="V47" s="187" t="s">
        <v>100</v>
      </c>
      <c r="W47" s="187" t="s">
        <v>205</v>
      </c>
      <c r="X47" s="187" t="s">
        <v>206</v>
      </c>
      <c r="Y47" s="188" t="s">
        <v>27</v>
      </c>
      <c r="Z47" s="188" t="s">
        <v>236</v>
      </c>
    </row>
    <row r="48" spans="1:26" ht="15" thickBot="1" x14ac:dyDescent="0.35">
      <c r="G48" s="264" t="s">
        <v>192</v>
      </c>
      <c r="H48" s="231">
        <f>MAX(K48:N48)+MAX(U48:X48)</f>
        <v>2</v>
      </c>
      <c r="I48" s="57" t="s">
        <v>360</v>
      </c>
      <c r="J48" s="266"/>
      <c r="K48" s="266">
        <v>1</v>
      </c>
      <c r="L48" s="266">
        <v>1</v>
      </c>
      <c r="M48" s="266">
        <v>1</v>
      </c>
      <c r="N48" s="266">
        <v>2</v>
      </c>
      <c r="O48" s="216">
        <f>(J48+K48)*$Y$3</f>
        <v>0.5</v>
      </c>
      <c r="P48" s="216"/>
      <c r="Q48" s="195"/>
      <c r="R48" s="70"/>
      <c r="Y48" s="216">
        <f>(T48+U48)*$Y$3</f>
        <v>0</v>
      </c>
      <c r="Z48" s="216"/>
    </row>
    <row r="49" spans="7:26" ht="15" thickBot="1" x14ac:dyDescent="0.35">
      <c r="G49" s="301"/>
      <c r="H49" s="225">
        <f>MAX(K49:N49)+MAX(U49:X49)</f>
        <v>0</v>
      </c>
      <c r="I49" s="269"/>
      <c r="J49" s="269"/>
      <c r="K49" s="269"/>
      <c r="L49" s="269"/>
      <c r="M49" s="269"/>
      <c r="N49" s="269"/>
      <c r="O49" s="232">
        <f>(J49+K49)*$Y$3</f>
        <v>0</v>
      </c>
      <c r="P49" s="232"/>
      <c r="Q49" s="226"/>
      <c r="R49" s="302"/>
      <c r="S49" s="140"/>
      <c r="T49" s="140"/>
      <c r="U49" s="140"/>
      <c r="V49" s="140"/>
      <c r="W49" s="140"/>
      <c r="X49" s="261"/>
      <c r="Y49" s="232">
        <f>(T49+U49)*$Y$3</f>
        <v>0</v>
      </c>
      <c r="Z49" s="232"/>
    </row>
    <row r="50" spans="7:26" ht="15" thickBot="1" x14ac:dyDescent="0.35">
      <c r="H50" s="241"/>
    </row>
    <row r="51" spans="7:26" ht="15" thickBot="1" x14ac:dyDescent="0.35">
      <c r="G51" s="250" t="s">
        <v>430</v>
      </c>
      <c r="H51" s="184" t="s">
        <v>69</v>
      </c>
      <c r="I51" s="185" t="s">
        <v>237</v>
      </c>
      <c r="J51" s="186" t="s">
        <v>228</v>
      </c>
      <c r="K51" s="187" t="s">
        <v>204</v>
      </c>
      <c r="L51" s="187" t="s">
        <v>100</v>
      </c>
      <c r="M51" s="187" t="s">
        <v>205</v>
      </c>
      <c r="N51" s="187" t="s">
        <v>206</v>
      </c>
      <c r="O51" s="188" t="s">
        <v>27</v>
      </c>
      <c r="P51" s="188" t="s">
        <v>236</v>
      </c>
      <c r="Q51" s="189"/>
      <c r="R51" s="185" t="s">
        <v>41</v>
      </c>
      <c r="S51" s="185" t="s">
        <v>237</v>
      </c>
      <c r="T51" s="186" t="s">
        <v>228</v>
      </c>
      <c r="U51" s="187" t="s">
        <v>204</v>
      </c>
      <c r="V51" s="187" t="s">
        <v>100</v>
      </c>
      <c r="W51" s="187" t="s">
        <v>205</v>
      </c>
      <c r="X51" s="187" t="s">
        <v>206</v>
      </c>
      <c r="Y51" s="188" t="s">
        <v>27</v>
      </c>
      <c r="Z51" s="188" t="s">
        <v>236</v>
      </c>
    </row>
    <row r="52" spans="7:26" ht="15" thickBot="1" x14ac:dyDescent="0.35">
      <c r="G52" s="264" t="s">
        <v>429</v>
      </c>
      <c r="H52" s="231">
        <f>MAX(K52:N52)+MAX(U52:X52)</f>
        <v>1</v>
      </c>
      <c r="I52" s="57" t="s">
        <v>558</v>
      </c>
      <c r="J52" s="266"/>
      <c r="K52" s="266"/>
      <c r="L52" s="266"/>
      <c r="M52" s="266"/>
      <c r="N52" s="266">
        <v>1</v>
      </c>
      <c r="O52" s="216">
        <f>(J52+K52)*$Y$3</f>
        <v>0</v>
      </c>
      <c r="P52" s="216"/>
      <c r="Q52" s="195"/>
      <c r="R52" s="70"/>
      <c r="Y52" s="216">
        <f>(T52+U52)*$Y$3</f>
        <v>0</v>
      </c>
      <c r="Z52" s="216"/>
    </row>
    <row r="53" spans="7:26" ht="15" thickBot="1" x14ac:dyDescent="0.35">
      <c r="G53" s="301"/>
      <c r="H53" s="225">
        <f>MAX(K53:N53)+MAX(U53:X53)</f>
        <v>0</v>
      </c>
      <c r="I53" s="269"/>
      <c r="J53" s="269"/>
      <c r="K53" s="269"/>
      <c r="L53" s="269"/>
      <c r="M53" s="269"/>
      <c r="N53" s="269"/>
      <c r="O53" s="232">
        <f>(J53+K53)*$Y$3</f>
        <v>0</v>
      </c>
      <c r="P53" s="232"/>
      <c r="Q53" s="226"/>
      <c r="R53" s="302"/>
      <c r="S53" s="140"/>
      <c r="T53" s="140"/>
      <c r="U53" s="140"/>
      <c r="V53" s="140"/>
      <c r="W53" s="140"/>
      <c r="X53" s="261"/>
      <c r="Y53" s="232">
        <f>(T53+U53)*$Y$3</f>
        <v>0</v>
      </c>
      <c r="Z53" s="232"/>
    </row>
    <row r="54" spans="7:26" x14ac:dyDescent="0.3">
      <c r="H54" s="241"/>
    </row>
  </sheetData>
  <mergeCells count="1">
    <mergeCell ref="T4:U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0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Midmarch</vt:lpstr>
      <vt:lpstr>Ringbridge</vt:lpstr>
      <vt:lpstr>The Gates</vt:lpstr>
      <vt:lpstr>Aeris</vt:lpstr>
      <vt:lpstr>Vallani</vt:lpstr>
      <vt:lpstr>Dosilac</vt:lpstr>
      <vt:lpstr>Oston</vt:lpstr>
      <vt:lpstr>WyvernBridge</vt:lpstr>
      <vt:lpstr>Tatzleford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2020-01-26T21:20:04Z</cp:lastPrinted>
  <dcterms:created xsi:type="dcterms:W3CDTF">2017-10-30T20:13:27Z</dcterms:created>
  <dcterms:modified xsi:type="dcterms:W3CDTF">2022-07-14T13:09:35Z</dcterms:modified>
</cp:coreProperties>
</file>